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  <Override PartName="/xl/embeddings/oleObject_1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10" windowWidth="19200" windowHeight="12330" tabRatio="960" firstSheet="1" activeTab="1"/>
  </bookViews>
  <sheets>
    <sheet name="Инструкция" sheetId="1" r:id="rId1"/>
    <sheet name="Литература" sheetId="2" r:id="rId2"/>
    <sheet name="Выбор Qвпу" sheetId="3" r:id="rId3"/>
    <sheet name="Источники водоснабжения" sheetId="4" r:id="rId4"/>
    <sheet name="Исх.вода" sheetId="5" r:id="rId5"/>
    <sheet name="Диаг.1" sheetId="6" r:id="rId6"/>
    <sheet name="Кач.воды по ступ." sheetId="7" r:id="rId7"/>
    <sheet name="Диаг.2" sheetId="8" r:id="rId8"/>
    <sheet name="Диаг.3" sheetId="9" r:id="rId9"/>
    <sheet name="Предочистка" sheetId="10" r:id="rId10"/>
    <sheet name="ФСД" sheetId="11" r:id="rId11"/>
    <sheet name="А2-Н2-А1-Н1-М" sheetId="12" r:id="rId12"/>
    <sheet name="Схема ВПУ" sheetId="13" r:id="rId13"/>
    <sheet name="Ep для сульфоугля" sheetId="14" r:id="rId14"/>
    <sheet name="Фильтры" sheetId="15" r:id="rId15"/>
    <sheet name="Нейтрализация стоков" sheetId="16" r:id="rId16"/>
    <sheet name="Расчет теплосети" sheetId="17" r:id="rId17"/>
    <sheet name="Расчет декарбонизатора" sheetId="18" r:id="rId18"/>
    <sheet name="Расчет осветлителя" sheetId="19" r:id="rId19"/>
  </sheets>
  <definedNames>
    <definedName name="_Фильтр_базы_данных" localSheetId="3" hidden="1">'Источники водоснабжения'!$A$1:$O$16</definedName>
    <definedName name="ACwvu.a." localSheetId="4" hidden="1">'Исх.вода'!$A:$XFD</definedName>
    <definedName name="ACwvu.Исх.._.вода." localSheetId="4" hidden="1">'Исх.вода'!$A:$XFD</definedName>
    <definedName name="Swvu.a." localSheetId="4" hidden="1">'Исх.вода'!$A:$XFD</definedName>
    <definedName name="Swvu.Исх.._.вода." localSheetId="4" hidden="1">'Исх.вода'!$A:$XFD</definedName>
    <definedName name="wvu.a." localSheetId="4" hidden="1">{TRUE,TRUE,-1.25,-15.5,604.5,366.75,FALSE,TRUE,TRUE,TRUE,0,1,3,1,4,2,3,4,TRUE,TRUE,3,FALSE,1,TRUE,100,"Swvu.a.","ACwvu.a.",#N/A,FALSE,FALSE,1.1811023622047245,0.7874015748031497,0.984251968503937,0.984251968503937,1,"&amp;A","",FALSE,FALSE,FALSE,FALSE,1,100,#N/A,#N/A,FALSE,FALSE,#N/A,#N/A,FALSE,FALSE,TRUE,9,360,360,FALSE,FALSE,TRUE,TRUE,TRUE}</definedName>
    <definedName name="wvu.Исх.._.вода." localSheetId="4" hidden="1">{TRUE,TRUE,-1.25,-15.5,604.5,366.75,FALSE,TRUE,TRUE,TRUE,0,1,3,1,4,2,3,4,TRUE,TRUE,3,FALSE,1,TRUE,100,"Swvu.Исх.._.вода.","ACwvu.Исх.._.вода.",#N/A,FALSE,FALSE,1.1811023622047245,0.7874015748031497,0.984251968503937,0.984251968503937,1,"&amp;A","",FALSE,FALSE,FALSE,FALSE,1,100,#N/A,#N/A,FALSE,FALSE,#N/A,#N/A,FALSE,FALSE,TRUE,9,360,360,FALSE,FALSE,TRUE,TRUE,TRUE}</definedName>
  </definedNames>
  <calcPr fullCalcOnLoad="1"/>
</workbook>
</file>

<file path=xl/sharedStrings.xml><?xml version="1.0" encoding="utf-8"?>
<sst xmlns="http://schemas.openxmlformats.org/spreadsheetml/2006/main" count="769" uniqueCount="584">
  <si>
    <t>Расчет ВПУ выполнен в виде электронной книги пакета Excel для Windows.</t>
  </si>
  <si>
    <t>Литература:</t>
  </si>
  <si>
    <t>1. Мартынова О.И., Никитин А.В., Очков В.Ф. "Водоподготовка: Расчеты на персональном компьютере, М.: Энергоатомиздат, 1990.</t>
  </si>
  <si>
    <t>Источник</t>
  </si>
  <si>
    <t>Место отбора пробы</t>
  </si>
  <si>
    <r>
      <t>Сa</t>
    </r>
    <r>
      <rPr>
        <vertAlign val="superscript"/>
        <sz val="11"/>
        <color indexed="12"/>
        <rFont val="Arial Cyr"/>
        <family val="2"/>
      </rPr>
      <t>2+</t>
    </r>
    <r>
      <rPr>
        <sz val="11"/>
        <color indexed="12"/>
        <rFont val="Arial Cyr"/>
        <family val="2"/>
      </rPr>
      <t>, мг/л</t>
    </r>
  </si>
  <si>
    <r>
      <t>Mg</t>
    </r>
    <r>
      <rPr>
        <vertAlign val="superscript"/>
        <sz val="11"/>
        <color indexed="12"/>
        <rFont val="Arial Cyr"/>
        <family val="2"/>
      </rPr>
      <t>2+</t>
    </r>
    <r>
      <rPr>
        <sz val="11"/>
        <color indexed="12"/>
        <rFont val="Arial Cyr"/>
        <family val="2"/>
      </rPr>
      <t>, мг/л</t>
    </r>
  </si>
  <si>
    <r>
      <t>Na</t>
    </r>
    <r>
      <rPr>
        <vertAlign val="superscript"/>
        <sz val="11"/>
        <color indexed="12"/>
        <rFont val="Arial Cyr"/>
        <family val="2"/>
      </rPr>
      <t>+</t>
    </r>
    <r>
      <rPr>
        <sz val="11"/>
        <color indexed="12"/>
        <rFont val="Arial Cyr"/>
        <family val="2"/>
      </rPr>
      <t>+K</t>
    </r>
    <r>
      <rPr>
        <vertAlign val="superscript"/>
        <sz val="11"/>
        <color indexed="12"/>
        <rFont val="Arial Cyr"/>
        <family val="2"/>
      </rPr>
      <t>+</t>
    </r>
    <r>
      <rPr>
        <sz val="11"/>
        <color indexed="12"/>
        <rFont val="Arial Cyr"/>
        <family val="2"/>
      </rPr>
      <t>, мг/л</t>
    </r>
  </si>
  <si>
    <r>
      <t>HCO</t>
    </r>
    <r>
      <rPr>
        <vertAlign val="subscript"/>
        <sz val="11"/>
        <color indexed="12"/>
        <rFont val="Arial Cyr"/>
        <family val="2"/>
      </rPr>
      <t>3</t>
    </r>
    <r>
      <rPr>
        <vertAlign val="superscript"/>
        <sz val="11"/>
        <color indexed="12"/>
        <rFont val="Arial Cyr"/>
        <family val="2"/>
      </rPr>
      <t>-</t>
    </r>
    <r>
      <rPr>
        <sz val="11"/>
        <color indexed="12"/>
        <rFont val="Arial Cyr"/>
        <family val="2"/>
      </rPr>
      <t>, мг/л</t>
    </r>
  </si>
  <si>
    <r>
      <t>SO</t>
    </r>
    <r>
      <rPr>
        <vertAlign val="subscript"/>
        <sz val="11"/>
        <color indexed="12"/>
        <rFont val="Arial Cyr"/>
        <family val="2"/>
      </rPr>
      <t>4</t>
    </r>
    <r>
      <rPr>
        <vertAlign val="superscript"/>
        <sz val="11"/>
        <color indexed="12"/>
        <rFont val="Arial Cyr"/>
        <family val="2"/>
      </rPr>
      <t>2-</t>
    </r>
    <r>
      <rPr>
        <sz val="11"/>
        <color indexed="12"/>
        <rFont val="Arial Cyr"/>
        <family val="2"/>
      </rPr>
      <t>, мг/л</t>
    </r>
  </si>
  <si>
    <r>
      <t>Cl</t>
    </r>
    <r>
      <rPr>
        <vertAlign val="superscript"/>
        <sz val="11"/>
        <color indexed="12"/>
        <rFont val="Arial Cyr"/>
        <family val="2"/>
      </rPr>
      <t>-</t>
    </r>
    <r>
      <rPr>
        <sz val="11"/>
        <color indexed="12"/>
        <rFont val="Arial Cyr"/>
        <family val="2"/>
      </rPr>
      <t>, мг/л</t>
    </r>
  </si>
  <si>
    <r>
      <t>NO</t>
    </r>
    <r>
      <rPr>
        <vertAlign val="superscript"/>
        <sz val="11"/>
        <color indexed="12"/>
        <rFont val="Arial Cyr"/>
        <family val="2"/>
      </rPr>
      <t>3-</t>
    </r>
    <r>
      <rPr>
        <sz val="11"/>
        <color indexed="12"/>
        <rFont val="Arial Cyr"/>
        <family val="2"/>
      </rPr>
      <t>, мг/л</t>
    </r>
  </si>
  <si>
    <r>
      <t>SiO</t>
    </r>
    <r>
      <rPr>
        <vertAlign val="subscript"/>
        <sz val="11"/>
        <color indexed="12"/>
        <rFont val="Arial Cyr"/>
        <family val="2"/>
      </rPr>
      <t>3</t>
    </r>
    <r>
      <rPr>
        <vertAlign val="superscript"/>
        <sz val="11"/>
        <color indexed="12"/>
        <rFont val="Arial Cyr"/>
        <family val="2"/>
      </rPr>
      <t>2-</t>
    </r>
    <r>
      <rPr>
        <sz val="11"/>
        <color indexed="12"/>
        <rFont val="Arial Cyr"/>
        <family val="2"/>
      </rPr>
      <t>, мг/л</t>
    </r>
  </si>
  <si>
    <r>
      <t>Fe</t>
    </r>
    <r>
      <rPr>
        <vertAlign val="subscript"/>
        <sz val="11"/>
        <color indexed="12"/>
        <rFont val="Arial Cyr"/>
        <family val="2"/>
      </rPr>
      <t>2</t>
    </r>
    <r>
      <rPr>
        <sz val="11"/>
        <color indexed="12"/>
        <rFont val="Arial Cyr"/>
        <family val="2"/>
      </rPr>
      <t>O</t>
    </r>
    <r>
      <rPr>
        <vertAlign val="subscript"/>
        <sz val="11"/>
        <color indexed="12"/>
        <rFont val="Arial Cyr"/>
        <family val="2"/>
      </rPr>
      <t>3</t>
    </r>
    <r>
      <rPr>
        <sz val="11"/>
        <color indexed="12"/>
        <rFont val="Arial Cyr"/>
        <family val="2"/>
      </rPr>
      <t>+Al</t>
    </r>
    <r>
      <rPr>
        <vertAlign val="subscript"/>
        <sz val="11"/>
        <color indexed="12"/>
        <rFont val="Arial Cyr"/>
        <family val="2"/>
      </rPr>
      <t>2</t>
    </r>
    <r>
      <rPr>
        <sz val="11"/>
        <color indexed="12"/>
        <rFont val="Arial Cyr"/>
        <family val="2"/>
      </rPr>
      <t>O</t>
    </r>
    <r>
      <rPr>
        <vertAlign val="subscript"/>
        <sz val="11"/>
        <color indexed="12"/>
        <rFont val="Arial Cyr"/>
        <family val="2"/>
      </rPr>
      <t>3</t>
    </r>
    <r>
      <rPr>
        <sz val="11"/>
        <color indexed="12"/>
        <rFont val="Arial Cyr"/>
        <family val="2"/>
      </rPr>
      <t>, мг/л</t>
    </r>
  </si>
  <si>
    <t>Взвешенные вещества, мг/кг</t>
  </si>
  <si>
    <t>Окисляемость, кг/кг</t>
  </si>
  <si>
    <t>Жо, мг-экв/л</t>
  </si>
  <si>
    <t>Жк, мг-экв/л</t>
  </si>
  <si>
    <t>Амударья</t>
  </si>
  <si>
    <t>г.Керки</t>
  </si>
  <si>
    <t>Амур</t>
  </si>
  <si>
    <t>г.Хабаровск</t>
  </si>
  <si>
    <t>Ангара</t>
  </si>
  <si>
    <t>г.Ангарск</t>
  </si>
  <si>
    <t xml:space="preserve">Волга </t>
  </si>
  <si>
    <t>г.Ярославль</t>
  </si>
  <si>
    <t>г.Казань</t>
  </si>
  <si>
    <t>Волхов</t>
  </si>
  <si>
    <t>г.Новгород</t>
  </si>
  <si>
    <t>Воронеж</t>
  </si>
  <si>
    <t>г.Липецк</t>
  </si>
  <si>
    <t>Даугава</t>
  </si>
  <si>
    <t>г.Даугавпилс</t>
  </si>
  <si>
    <t>Северная Двина</t>
  </si>
  <si>
    <t>г.Архангельск</t>
  </si>
  <si>
    <t>Десна</t>
  </si>
  <si>
    <t>г.Чернигов</t>
  </si>
  <si>
    <t>Днепр</t>
  </si>
  <si>
    <t>г.Запорожье</t>
  </si>
  <si>
    <t>Дон</t>
  </si>
  <si>
    <t>г.Задонск</t>
  </si>
  <si>
    <t>Северский Донец</t>
  </si>
  <si>
    <t>г.Лисичанск</t>
  </si>
  <si>
    <t>Енисей</t>
  </si>
  <si>
    <t>г.Красноярск</t>
  </si>
  <si>
    <t>Иртыш</t>
  </si>
  <si>
    <t>г.Омск</t>
  </si>
  <si>
    <t>Кама</t>
  </si>
  <si>
    <t>г.Березняки</t>
  </si>
  <si>
    <t>Клязьма</t>
  </si>
  <si>
    <t>г.Владимир</t>
  </si>
  <si>
    <t>Кура</t>
  </si>
  <si>
    <t xml:space="preserve">г.Али-Байрамлы </t>
  </si>
  <si>
    <t>Лена</t>
  </si>
  <si>
    <t>Лопань</t>
  </si>
  <si>
    <t>г.Харьков</t>
  </si>
  <si>
    <t>Миасс</t>
  </si>
  <si>
    <t>г.Челябинск</t>
  </si>
  <si>
    <t>Москва</t>
  </si>
  <si>
    <t>г.Москва</t>
  </si>
  <si>
    <t>Нарва</t>
  </si>
  <si>
    <t>ЭССР</t>
  </si>
  <si>
    <t>Нева</t>
  </si>
  <si>
    <t>г.Ленинград</t>
  </si>
  <si>
    <t>Неман</t>
  </si>
  <si>
    <t>г.Каунас</t>
  </si>
  <si>
    <t>Обь</t>
  </si>
  <si>
    <t>г.Новосибирск</t>
  </si>
  <si>
    <t>Ока</t>
  </si>
  <si>
    <t>г.Горький</t>
  </si>
  <si>
    <t>Печора</t>
  </si>
  <si>
    <t>г.Усть-Цильма</t>
  </si>
  <si>
    <t>Тобол</t>
  </si>
  <si>
    <t>г.Кустанай</t>
  </si>
  <si>
    <t>Томь</t>
  </si>
  <si>
    <t>г.Кемерово</t>
  </si>
  <si>
    <t>Урал</t>
  </si>
  <si>
    <t>г.Гурьев</t>
  </si>
  <si>
    <t>Цна</t>
  </si>
  <si>
    <t>г.Тамбов</t>
  </si>
  <si>
    <t>Шексна</t>
  </si>
  <si>
    <t>г.Череповец</t>
  </si>
  <si>
    <t>Водохранилища</t>
  </si>
  <si>
    <t>Исаковское</t>
  </si>
  <si>
    <t>г.Коммунарск</t>
  </si>
  <si>
    <t>Луганское</t>
  </si>
  <si>
    <t>пос.Мироновский</t>
  </si>
  <si>
    <t>Терновское</t>
  </si>
  <si>
    <t>г.Курахово</t>
  </si>
  <si>
    <t>Пруды</t>
  </si>
  <si>
    <t>Несветай ГРЭС</t>
  </si>
  <si>
    <t>г.Красный Сулин</t>
  </si>
  <si>
    <t>Черепетская ГРЭС</t>
  </si>
  <si>
    <t>г.Суворов</t>
  </si>
  <si>
    <t>Озера</t>
  </si>
  <si>
    <t>Байкал</t>
  </si>
  <si>
    <t>Балхаш</t>
  </si>
  <si>
    <t>Моря</t>
  </si>
  <si>
    <t>Черное</t>
  </si>
  <si>
    <t>Каспийское</t>
  </si>
  <si>
    <t>Океан</t>
  </si>
  <si>
    <t>Анализ состава исходной воды</t>
  </si>
  <si>
    <t>Источник водоснабжения:</t>
  </si>
  <si>
    <t>Место отбора пробы:</t>
  </si>
  <si>
    <t>Ион</t>
  </si>
  <si>
    <t>Примечания</t>
  </si>
  <si>
    <t>мг/л</t>
  </si>
  <si>
    <t>экв.масса</t>
  </si>
  <si>
    <t>мг-экв/л</t>
  </si>
  <si>
    <r>
      <t>Na</t>
    </r>
    <r>
      <rPr>
        <vertAlign val="superscript"/>
        <sz val="14"/>
        <rFont val="Arial Cyr"/>
        <family val="2"/>
      </rPr>
      <t>+</t>
    </r>
  </si>
  <si>
    <r>
      <t>K</t>
    </r>
    <r>
      <rPr>
        <vertAlign val="superscript"/>
        <sz val="14"/>
        <rFont val="Arial Cyr"/>
        <family val="2"/>
      </rPr>
      <t>+</t>
    </r>
  </si>
  <si>
    <r>
      <t>Ca</t>
    </r>
    <r>
      <rPr>
        <vertAlign val="superscript"/>
        <sz val="14"/>
        <rFont val="Arial Cyr"/>
        <family val="2"/>
      </rPr>
      <t>2+</t>
    </r>
  </si>
  <si>
    <r>
      <t>Mg</t>
    </r>
    <r>
      <rPr>
        <vertAlign val="superscript"/>
        <sz val="14"/>
        <rFont val="Arial Cyr"/>
        <family val="2"/>
      </rPr>
      <t>2+</t>
    </r>
  </si>
  <si>
    <r>
      <t>Cl</t>
    </r>
    <r>
      <rPr>
        <vertAlign val="superscript"/>
        <sz val="14"/>
        <rFont val="Arial Cyr"/>
        <family val="2"/>
      </rPr>
      <t>-</t>
    </r>
  </si>
  <si>
    <r>
      <t>SO</t>
    </r>
    <r>
      <rPr>
        <vertAlign val="subscript"/>
        <sz val="14"/>
        <rFont val="Arial Cyr"/>
        <family val="2"/>
      </rPr>
      <t>4</t>
    </r>
    <r>
      <rPr>
        <vertAlign val="superscript"/>
        <sz val="14"/>
        <rFont val="Arial Cyr"/>
        <family val="2"/>
      </rPr>
      <t>2-</t>
    </r>
  </si>
  <si>
    <r>
      <t>HCO</t>
    </r>
    <r>
      <rPr>
        <vertAlign val="subscript"/>
        <sz val="14"/>
        <rFont val="Arial Cyr"/>
        <family val="2"/>
      </rPr>
      <t>3</t>
    </r>
    <r>
      <rPr>
        <vertAlign val="superscript"/>
        <sz val="14"/>
        <rFont val="Arial Cyr"/>
        <family val="2"/>
      </rPr>
      <t>-</t>
    </r>
  </si>
  <si>
    <r>
      <t>NO</t>
    </r>
    <r>
      <rPr>
        <vertAlign val="subscript"/>
        <sz val="14"/>
        <rFont val="Arial Cyr"/>
        <family val="2"/>
      </rPr>
      <t>3</t>
    </r>
    <r>
      <rPr>
        <vertAlign val="superscript"/>
        <sz val="14"/>
        <rFont val="Arial Cyr"/>
        <family val="2"/>
      </rPr>
      <t>-</t>
    </r>
  </si>
  <si>
    <t>SiO3--</t>
  </si>
  <si>
    <r>
      <t>CO</t>
    </r>
    <r>
      <rPr>
        <vertAlign val="subscript"/>
        <sz val="14"/>
        <rFont val="Arial Cyr"/>
        <family val="2"/>
      </rPr>
      <t>2</t>
    </r>
  </si>
  <si>
    <t>Сумма катионов</t>
  </si>
  <si>
    <t>Сумма анионов</t>
  </si>
  <si>
    <t xml:space="preserve">Электронейтральность </t>
  </si>
  <si>
    <t>Погрешность</t>
  </si>
  <si>
    <t>Жобщ</t>
  </si>
  <si>
    <t>Щобщ</t>
  </si>
  <si>
    <t>Жкарб</t>
  </si>
  <si>
    <t>Жнкарб</t>
  </si>
  <si>
    <t>Солесодержание</t>
  </si>
  <si>
    <t>Вода</t>
  </si>
  <si>
    <t>Класс</t>
  </si>
  <si>
    <t>Группа</t>
  </si>
  <si>
    <t>Число блоков:</t>
  </si>
  <si>
    <t>Тип блоков:</t>
  </si>
  <si>
    <t>Мощность блоков:</t>
  </si>
  <si>
    <t>МВт</t>
  </si>
  <si>
    <t>Котлы:</t>
  </si>
  <si>
    <t>Топливо:</t>
  </si>
  <si>
    <t>Удельный расход пара на производство эл.энергии:</t>
  </si>
  <si>
    <t>кг/КВтч</t>
  </si>
  <si>
    <r>
      <t>Расход пара D</t>
    </r>
    <r>
      <rPr>
        <vertAlign val="subscript"/>
        <sz val="14"/>
        <rFont val="Arial Cyr"/>
        <family val="2"/>
      </rPr>
      <t>0</t>
    </r>
  </si>
  <si>
    <t>Учет теплофикационных отборов:</t>
  </si>
  <si>
    <t>Расход на продувку барабанных котлов:</t>
  </si>
  <si>
    <t>Расход пара на разогрев мазута:</t>
  </si>
  <si>
    <t>Суммарный расход:</t>
  </si>
  <si>
    <t>Производительность ВПУ:</t>
  </si>
  <si>
    <t>Запас</t>
  </si>
  <si>
    <t>Сумма:</t>
  </si>
  <si>
    <t>Округление:</t>
  </si>
  <si>
    <t xml:space="preserve">ИТОГ: Qвпу = </t>
  </si>
  <si>
    <t>КЭС</t>
  </si>
  <si>
    <t>отопит. ТЭЦ</t>
  </si>
  <si>
    <t>АЭС ВВЭР</t>
  </si>
  <si>
    <t>АЭС РБМК</t>
  </si>
  <si>
    <t>Прямоточные</t>
  </si>
  <si>
    <t>Барабанные</t>
  </si>
  <si>
    <t>Уголь</t>
  </si>
  <si>
    <t>Газ</t>
  </si>
  <si>
    <t>Мазут</t>
  </si>
  <si>
    <t>Яд.топливо</t>
  </si>
  <si>
    <t>ИЗМЕНЕНИЕ КАЧЕСТВА ВОДЫ ПО СТУПЕНЯМ</t>
  </si>
  <si>
    <t>Примесь</t>
  </si>
  <si>
    <t>Размерность</t>
  </si>
  <si>
    <t>Исходная вода</t>
  </si>
  <si>
    <t>ИК (равнов. конц.)</t>
  </si>
  <si>
    <t>ИК (реальные конц.)</t>
  </si>
  <si>
    <t>Механические фильтры</t>
  </si>
  <si>
    <t>H1</t>
  </si>
  <si>
    <t>A1</t>
  </si>
  <si>
    <t>H2</t>
  </si>
  <si>
    <t>Д</t>
  </si>
  <si>
    <t>A2</t>
  </si>
  <si>
    <t>N</t>
  </si>
  <si>
    <r>
      <t>Na</t>
    </r>
    <r>
      <rPr>
        <vertAlign val="superscript"/>
        <sz val="10"/>
        <rFont val="Arial Cyr"/>
        <family val="2"/>
      </rPr>
      <t>+</t>
    </r>
  </si>
  <si>
    <r>
      <t>K</t>
    </r>
    <r>
      <rPr>
        <vertAlign val="superscript"/>
        <sz val="12"/>
        <rFont val="Arial Cyr"/>
        <family val="2"/>
      </rPr>
      <t>+</t>
    </r>
  </si>
  <si>
    <r>
      <t>Ca</t>
    </r>
    <r>
      <rPr>
        <vertAlign val="superscript"/>
        <sz val="12"/>
        <rFont val="Arial Cyr"/>
        <family val="2"/>
      </rPr>
      <t>2+</t>
    </r>
  </si>
  <si>
    <r>
      <t>Mg</t>
    </r>
    <r>
      <rPr>
        <vertAlign val="superscript"/>
        <sz val="12"/>
        <rFont val="Arial Cyr"/>
        <family val="2"/>
      </rPr>
      <t>2+</t>
    </r>
  </si>
  <si>
    <r>
      <t>Cl</t>
    </r>
    <r>
      <rPr>
        <vertAlign val="superscript"/>
        <sz val="12"/>
        <rFont val="Arial Cyr"/>
        <family val="2"/>
      </rPr>
      <t>-</t>
    </r>
  </si>
  <si>
    <r>
      <t>SO</t>
    </r>
    <r>
      <rPr>
        <vertAlign val="subscript"/>
        <sz val="12"/>
        <rFont val="Arial Cyr"/>
        <family val="2"/>
      </rPr>
      <t>4</t>
    </r>
    <r>
      <rPr>
        <vertAlign val="superscript"/>
        <sz val="12"/>
        <rFont val="Arial Cyr"/>
        <family val="2"/>
      </rPr>
      <t>2-</t>
    </r>
  </si>
  <si>
    <r>
      <t>HCO</t>
    </r>
    <r>
      <rPr>
        <vertAlign val="subscript"/>
        <sz val="12"/>
        <rFont val="Arial Cyr"/>
        <family val="2"/>
      </rPr>
      <t>3</t>
    </r>
    <r>
      <rPr>
        <vertAlign val="superscript"/>
        <sz val="12"/>
        <rFont val="Arial Cyr"/>
        <family val="2"/>
      </rPr>
      <t>-</t>
    </r>
  </si>
  <si>
    <r>
      <t>NO</t>
    </r>
    <r>
      <rPr>
        <vertAlign val="subscript"/>
        <sz val="12"/>
        <rFont val="Arial Cyr"/>
        <family val="2"/>
      </rPr>
      <t>3</t>
    </r>
    <r>
      <rPr>
        <vertAlign val="superscript"/>
        <sz val="12"/>
        <rFont val="Arial Cyr"/>
        <family val="2"/>
      </rPr>
      <t>-</t>
    </r>
  </si>
  <si>
    <r>
      <t>SiO</t>
    </r>
    <r>
      <rPr>
        <vertAlign val="subscript"/>
        <sz val="12"/>
        <rFont val="Arial Cyr"/>
        <family val="2"/>
      </rPr>
      <t>3</t>
    </r>
  </si>
  <si>
    <r>
      <t>CO</t>
    </r>
    <r>
      <rPr>
        <vertAlign val="subscript"/>
        <sz val="12"/>
        <rFont val="Arial Cyr"/>
        <family val="2"/>
      </rPr>
      <t>2</t>
    </r>
  </si>
  <si>
    <r>
      <t>CO</t>
    </r>
    <r>
      <rPr>
        <vertAlign val="subscript"/>
        <sz val="12"/>
        <rFont val="Arial Cyr"/>
        <family val="2"/>
      </rPr>
      <t>3</t>
    </r>
    <r>
      <rPr>
        <vertAlign val="superscript"/>
        <sz val="12"/>
        <rFont val="Arial Cyr"/>
        <family val="2"/>
      </rPr>
      <t>2-</t>
    </r>
  </si>
  <si>
    <r>
      <t>H</t>
    </r>
    <r>
      <rPr>
        <vertAlign val="superscript"/>
        <sz val="12"/>
        <rFont val="Arial Cyr"/>
        <family val="2"/>
      </rPr>
      <t>+</t>
    </r>
  </si>
  <si>
    <r>
      <t>OH</t>
    </r>
    <r>
      <rPr>
        <vertAlign val="superscript"/>
        <sz val="12"/>
        <rFont val="Arial Cyr"/>
        <family val="2"/>
      </rPr>
      <t>-</t>
    </r>
  </si>
  <si>
    <t>f1</t>
  </si>
  <si>
    <t>-</t>
  </si>
  <si>
    <t>f2</t>
  </si>
  <si>
    <t>m</t>
  </si>
  <si>
    <t>моль/л</t>
  </si>
  <si>
    <t>Сумма Kt</t>
  </si>
  <si>
    <t>Сумма An</t>
  </si>
  <si>
    <t>t</t>
  </si>
  <si>
    <r>
      <t>o</t>
    </r>
    <r>
      <rPr>
        <sz val="10"/>
        <rFont val="Arial Cyr"/>
        <family val="0"/>
      </rPr>
      <t>C</t>
    </r>
  </si>
  <si>
    <t>pH</t>
  </si>
  <si>
    <t>Доза коагулянта</t>
  </si>
  <si>
    <t xml:space="preserve"> Доза извести рассчитывается по формуле:</t>
  </si>
  <si>
    <r>
      <t>ДCa(OH)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=C(CO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)исх+C(HCO3-)исх+C(Mg2+)исх+Дк+i</t>
    </r>
  </si>
  <si>
    <t>C(CO2)исх=</t>
  </si>
  <si>
    <t>C(HCO3-)=</t>
  </si>
  <si>
    <t>C(Mg2+)исх=</t>
  </si>
  <si>
    <t>i=</t>
  </si>
  <si>
    <t>ДCa(OH)2=</t>
  </si>
  <si>
    <t xml:space="preserve"> Доза извести теоретическая</t>
  </si>
  <si>
    <t>Выпадает карбоната кальция</t>
  </si>
  <si>
    <t xml:space="preserve">    -"-    гидрата окиси магния</t>
  </si>
  <si>
    <t>Расчет ФСД с внутренней регенерацией.</t>
  </si>
  <si>
    <t>1.Требуемая площадь фильтрования</t>
  </si>
  <si>
    <t>w</t>
  </si>
  <si>
    <t>м/ч</t>
  </si>
  <si>
    <t>Q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</si>
  <si>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/ч</t>
    </r>
  </si>
  <si>
    <t>F</t>
  </si>
  <si>
    <r>
      <t>м</t>
    </r>
    <r>
      <rPr>
        <vertAlign val="superscript"/>
        <sz val="10"/>
        <rFont val="Arial Cyr"/>
        <family val="2"/>
      </rPr>
      <t>2</t>
    </r>
  </si>
  <si>
    <t>2.Выбор из номенклатуры оборудования стандартного фильтра</t>
  </si>
  <si>
    <t>ФСД-2,0-6, f=3,14 м^2, высотой слоя 1200мм К : А=1:1</t>
  </si>
  <si>
    <t>3.Длительность фильтроцикла ФСД с учетом регенерируемости шихты после</t>
  </si>
  <si>
    <t xml:space="preserve"> пропуска 10000 м^3 на 1 м^3 смеси ионитов</t>
  </si>
  <si>
    <t>f</t>
  </si>
  <si>
    <t>hсл</t>
  </si>
  <si>
    <t>м</t>
  </si>
  <si>
    <t>n</t>
  </si>
  <si>
    <t>шт</t>
  </si>
  <si>
    <t>T+t</t>
  </si>
  <si>
    <t>ч</t>
  </si>
  <si>
    <t>4. Суточное число регенераций фильтра</t>
  </si>
  <si>
    <t xml:space="preserve">5.Расход 100% H2SO4 на регенерацию </t>
  </si>
  <si>
    <t>bк</t>
  </si>
  <si>
    <r>
      <t>кг/м</t>
    </r>
    <r>
      <rPr>
        <vertAlign val="superscript"/>
        <sz val="10"/>
        <rFont val="Arial Cyr"/>
        <family val="2"/>
      </rPr>
      <t>3</t>
    </r>
  </si>
  <si>
    <t>hкат</t>
  </si>
  <si>
    <t>gH2SO4</t>
  </si>
  <si>
    <t>кг</t>
  </si>
  <si>
    <t>6.Суточный расход 100% H2SO4</t>
  </si>
  <si>
    <t>gсутH2SO4</t>
  </si>
  <si>
    <t>7.Расход 100% NaOH на регенерацию</t>
  </si>
  <si>
    <t>bщ</t>
  </si>
  <si>
    <t>hан</t>
  </si>
  <si>
    <t>gNaOH</t>
  </si>
  <si>
    <t>8.Суточный расход 100% NaOH на регенерацию</t>
  </si>
  <si>
    <t>gсутNaOH</t>
  </si>
  <si>
    <t>9.Расходы воды на разделение смешанной шихты</t>
  </si>
  <si>
    <t>wразд</t>
  </si>
  <si>
    <t>tразд</t>
  </si>
  <si>
    <t>мин</t>
  </si>
  <si>
    <t>Vразд</t>
  </si>
  <si>
    <r>
      <t>м</t>
    </r>
    <r>
      <rPr>
        <vertAlign val="superscript"/>
        <sz val="10"/>
        <rFont val="Arial Cyr"/>
        <family val="2"/>
      </rPr>
      <t>3</t>
    </r>
  </si>
  <si>
    <t>10.Объем воды на установление встречных потоков воды до начала регенерации</t>
  </si>
  <si>
    <t>wв.п.</t>
  </si>
  <si>
    <t>tв.п.</t>
  </si>
  <si>
    <t>Vв.п.</t>
  </si>
  <si>
    <t>11.Расход воды на приготовление 3% H2SO4</t>
  </si>
  <si>
    <t>C</t>
  </si>
  <si>
    <t>V3H2SO4</t>
  </si>
  <si>
    <t>12.Расход воды на приготовление 4% NaOH</t>
  </si>
  <si>
    <t>V4NaOH</t>
  </si>
  <si>
    <t>13.Расход воды на раздельную одновременную</t>
  </si>
  <si>
    <t>отмывку катионита и анионита встречными потоками</t>
  </si>
  <si>
    <t>wр.о.</t>
  </si>
  <si>
    <t>tр.о.</t>
  </si>
  <si>
    <t>Vр.о.</t>
  </si>
  <si>
    <t>14.Расход воды на доотмывку смешанной шихты после перемешивания воздухом</t>
  </si>
  <si>
    <t>аH2O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</si>
  <si>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/м</t>
    </r>
    <r>
      <rPr>
        <vertAlign val="superscript"/>
        <sz val="10"/>
        <rFont val="Arial Cyr"/>
        <family val="2"/>
      </rPr>
      <t>3</t>
    </r>
  </si>
  <si>
    <t>Vдо</t>
  </si>
  <si>
    <t>15.Суммарный расход воды на собственные нужды</t>
  </si>
  <si>
    <t>Vсум</t>
  </si>
  <si>
    <t>16.Часовой расход воды на собственные нужды ФСД</t>
  </si>
  <si>
    <t>gс.н.ФСД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</si>
  <si>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</t>
    </r>
  </si>
  <si>
    <t>17.Время пропуска регенерационного раствора кислоты</t>
  </si>
  <si>
    <t>w к</t>
  </si>
  <si>
    <t>t к</t>
  </si>
  <si>
    <t>18.Время пропуска регенерационного раствора щелочи</t>
  </si>
  <si>
    <t>w щ</t>
  </si>
  <si>
    <t>t щ</t>
  </si>
  <si>
    <t>19.Время доотмывки смешанной шихты</t>
  </si>
  <si>
    <t>w до</t>
  </si>
  <si>
    <t>t до</t>
  </si>
  <si>
    <t>20.Суммарное время регенерации ФСД с учетом времени перемешивания</t>
  </si>
  <si>
    <t>шихты воздухом и затрат времени на неучтенные операции</t>
  </si>
  <si>
    <t>t пер</t>
  </si>
  <si>
    <t>t неучт</t>
  </si>
  <si>
    <t>t ФСД</t>
  </si>
  <si>
    <t>21.Объем набухших катионита и анионита в фильтрах</t>
  </si>
  <si>
    <t>Vку,ав</t>
  </si>
  <si>
    <t>22.Объем каждого ионита в воздушно-сухом состоянии</t>
  </si>
  <si>
    <t>Кку,наб</t>
  </si>
  <si>
    <t>Кав,наб</t>
  </si>
  <si>
    <t>Vку,сух</t>
  </si>
  <si>
    <t>Vав,сух</t>
  </si>
  <si>
    <t>23.Количество воздушно-сухих ионитов, загруженных в фильтры</t>
  </si>
  <si>
    <t>pку,сух</t>
  </si>
  <si>
    <r>
      <t>т/м</t>
    </r>
    <r>
      <rPr>
        <vertAlign val="superscript"/>
        <sz val="10"/>
        <rFont val="Arial Cyr"/>
        <family val="2"/>
      </rPr>
      <t>3</t>
    </r>
  </si>
  <si>
    <t>pав,сух</t>
  </si>
  <si>
    <t>gку,сух</t>
  </si>
  <si>
    <t>т</t>
  </si>
  <si>
    <t>gав,сух</t>
  </si>
  <si>
    <t>24.Расход катионита и анионита за первый год эксплуатации при t до 40 градусов</t>
  </si>
  <si>
    <t>потеря катионита</t>
  </si>
  <si>
    <t>потеря анионита</t>
  </si>
  <si>
    <t>КУ</t>
  </si>
  <si>
    <t>АВ</t>
  </si>
  <si>
    <t xml:space="preserve">25.Расход катионита и анионита в каждый последующий год </t>
  </si>
  <si>
    <t>срок службы</t>
  </si>
  <si>
    <t>g ку,полн</t>
  </si>
  <si>
    <t xml:space="preserve"> в течение 8 лет</t>
  </si>
  <si>
    <t>g ав,полн</t>
  </si>
  <si>
    <t>Технологический расчет фильтров А2-Н2-А1-Нп-М</t>
  </si>
  <si>
    <t>Показатель</t>
  </si>
  <si>
    <t>Обозначение</t>
  </si>
  <si>
    <t>Расчетная формула</t>
  </si>
  <si>
    <t>Н2</t>
  </si>
  <si>
    <t>А1</t>
  </si>
  <si>
    <t>М (однокамерный)</t>
  </si>
  <si>
    <t>Расчетная производительность</t>
  </si>
  <si>
    <t>Qст</t>
  </si>
  <si>
    <t>Qст,пред+qст,с.н.</t>
  </si>
  <si>
    <t>Рекомендуемая скорость фильтрования</t>
  </si>
  <si>
    <r>
      <t>w</t>
    </r>
    <r>
      <rPr>
        <vertAlign val="subscript"/>
        <sz val="10"/>
        <rFont val="Arial Cyr"/>
        <family val="2"/>
      </rPr>
      <t>рек</t>
    </r>
  </si>
  <si>
    <t>Задается</t>
  </si>
  <si>
    <t>Минимальное число фильтров</t>
  </si>
  <si>
    <t>Nмин</t>
  </si>
  <si>
    <t>Диаметр стандартного фильтра</t>
  </si>
  <si>
    <t>d</t>
  </si>
  <si>
    <t>Определяется по программе</t>
  </si>
  <si>
    <t>Число фильтров (в работе + регенерация)</t>
  </si>
  <si>
    <t>Принятая высота слоя</t>
  </si>
  <si>
    <t>h</t>
  </si>
  <si>
    <t>Площадь стандартного фильтра</t>
  </si>
  <si>
    <t>Действительная скорость фильтрования</t>
  </si>
  <si>
    <r>
      <t>w</t>
    </r>
    <r>
      <rPr>
        <vertAlign val="subscript"/>
        <sz val="10"/>
        <rFont val="Arial Cyr"/>
        <family val="2"/>
      </rPr>
      <t>д</t>
    </r>
  </si>
  <si>
    <t>Qст/f/n</t>
  </si>
  <si>
    <t>Тип загруженного материала</t>
  </si>
  <si>
    <t>АВ-17</t>
  </si>
  <si>
    <t>КУ-2</t>
  </si>
  <si>
    <t>Антрацит</t>
  </si>
  <si>
    <t>Удельный расход 100% реагента</t>
  </si>
  <si>
    <t>кг/м^3</t>
  </si>
  <si>
    <t>b</t>
  </si>
  <si>
    <t>Рабочая емкость,г-экв/м^3</t>
  </si>
  <si>
    <r>
      <t>г-экв/м</t>
    </r>
    <r>
      <rPr>
        <vertAlign val="superscript"/>
        <sz val="10"/>
        <rFont val="Arial Cyr"/>
        <family val="2"/>
      </rPr>
      <t xml:space="preserve">3 </t>
    </r>
    <r>
      <rPr>
        <sz val="10"/>
        <rFont val="Arial Cyr"/>
        <family val="2"/>
      </rPr>
      <t>(г/м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)</t>
    </r>
  </si>
  <si>
    <t>Ер</t>
  </si>
  <si>
    <t>Продолжительность фильтроцикла</t>
  </si>
  <si>
    <t>f*h*Ep*n/Q/C</t>
  </si>
  <si>
    <t>Суточное число регенераций всех фильтров</t>
  </si>
  <si>
    <t>рег./сут</t>
  </si>
  <si>
    <t>24*n/(T+t)</t>
  </si>
  <si>
    <t>Расход реагента на регенерацию</t>
  </si>
  <si>
    <t>б</t>
  </si>
  <si>
    <t>f*hсл*b</t>
  </si>
  <si>
    <t>Суточный расход реагента</t>
  </si>
  <si>
    <t>кг/сут</t>
  </si>
  <si>
    <t>бсут</t>
  </si>
  <si>
    <t>б*m</t>
  </si>
  <si>
    <t>Удельный расход воды на взрыхление фильтра</t>
  </si>
  <si>
    <t>кг/с*м^2</t>
  </si>
  <si>
    <t>i</t>
  </si>
  <si>
    <t>Время взрыхления фильтра, мин</t>
  </si>
  <si>
    <t>tвзр</t>
  </si>
  <si>
    <t>Расход воды на взрыхление</t>
  </si>
  <si>
    <t>м^3</t>
  </si>
  <si>
    <t>Vвзр</t>
  </si>
  <si>
    <t>(f*i*tвзр*60)/1000</t>
  </si>
  <si>
    <t>Концентрация регенерационного р-ра</t>
  </si>
  <si>
    <t>%</t>
  </si>
  <si>
    <t>Cр.р</t>
  </si>
  <si>
    <t>Расход воды на приготов. рег-ного р-ра</t>
  </si>
  <si>
    <t>Vр.р</t>
  </si>
  <si>
    <t>(б*100)/(Cр.р*1000)</t>
  </si>
  <si>
    <t>Удельный расход воды на отмывку</t>
  </si>
  <si>
    <t>м^3/м^3</t>
  </si>
  <si>
    <t>a</t>
  </si>
  <si>
    <t>Расход воды на отмывку</t>
  </si>
  <si>
    <t>Vотм</t>
  </si>
  <si>
    <t>f*hсл*a</t>
  </si>
  <si>
    <t>Суммарный расход воды на рег-цию</t>
  </si>
  <si>
    <t>Vвзр+Vр.р+Vотм</t>
  </si>
  <si>
    <t>Часовой расход воды на собственные нужды</t>
  </si>
  <si>
    <t>qст,с.н.</t>
  </si>
  <si>
    <t>Vсум*m/24</t>
  </si>
  <si>
    <t>Скорость пропуска регенер-ного раствора</t>
  </si>
  <si>
    <t>wр.р</t>
  </si>
  <si>
    <t>Время пропуска регенерационного р-ра</t>
  </si>
  <si>
    <t>tр.р</t>
  </si>
  <si>
    <t>(Vр.р*60)/(f*wр.р)</t>
  </si>
  <si>
    <t>Скорость отмывки</t>
  </si>
  <si>
    <t>wотм</t>
  </si>
  <si>
    <t>Время отмывки</t>
  </si>
  <si>
    <t>tотм</t>
  </si>
  <si>
    <t>(Vотм*60)/(f*wотм)</t>
  </si>
  <si>
    <t>Суммарное время регенерации фильтра</t>
  </si>
  <si>
    <t>tсум</t>
  </si>
  <si>
    <t>tвзр+tр.р+tотм</t>
  </si>
  <si>
    <t>Фильтры ионитные</t>
  </si>
  <si>
    <t>Первая ступень</t>
  </si>
  <si>
    <t>Вторая ступень</t>
  </si>
  <si>
    <t>Номер</t>
  </si>
  <si>
    <t>Диаметр</t>
  </si>
  <si>
    <t>Высота слоя</t>
  </si>
  <si>
    <t>F гран</t>
  </si>
  <si>
    <t>Экономия реагентов.</t>
  </si>
  <si>
    <t>1.Суточный расход 100% кислоты на регенерацию катионита в фильтрах Н1 и Н2</t>
  </si>
  <si>
    <t>qсутH2SO4=qсутH1+qсутН2</t>
  </si>
  <si>
    <t>2.Вместимость баков-мерников 92% серной кислоты</t>
  </si>
  <si>
    <t>плотность</t>
  </si>
  <si>
    <t>т/м^3</t>
  </si>
  <si>
    <t>концентрация</t>
  </si>
  <si>
    <t>расход</t>
  </si>
  <si>
    <t>Vб-м=1,25*qсут H2SO4*100/концентрация*плотность*1000</t>
  </si>
  <si>
    <t>3.Вместимость цистерн хранения 92% H2SO4 из расчета тридцати суточного запаса</t>
  </si>
  <si>
    <t>VмесH2SO4=qсутH2SO4*30/(концентрация*плотность*10)</t>
  </si>
  <si>
    <t>4.Суточный расход 100% едкого натра на регенерацию анионита в фильтрах А1 иА2.</t>
  </si>
  <si>
    <t>qсутNaOH=qсутА1+qсутА2</t>
  </si>
  <si>
    <t>5.Вместимость баков-мерников 42% NaOH  из расчета суточного запаса</t>
  </si>
  <si>
    <t>Vб-мNaOH=1,25*qсутNaOH*100/концентрация*плотность*1000</t>
  </si>
  <si>
    <t>6.Вместимость цистерн хранения 42% NaOH из расчета 30 суточного запаса</t>
  </si>
  <si>
    <t>VмесNaOH=qсутNaOH*30/(концентрация * плотность)</t>
  </si>
  <si>
    <t>10)</t>
  </si>
  <si>
    <t>7.Стехиометрический суточный расход 100% H2SO4 на регенерацию катионита в фильтрах</t>
  </si>
  <si>
    <t>Н1 и Н2</t>
  </si>
  <si>
    <t>(qсутH2SO4)стех=((f*hсл*Ер*m)Нп+(f*hсл*Ер*m)Н2)*ЭH2SO4/1000</t>
  </si>
  <si>
    <t>8.стехиометрический суточный расход 100% NaOH на регенерацию катионита в фильтрах</t>
  </si>
  <si>
    <t>А1 и А2</t>
  </si>
  <si>
    <t>(qсутNaOH)стех=((f*hсл*Ер*m)А1+((f*hсл*Ер*m)А2)*ЭNaOH/1000</t>
  </si>
  <si>
    <t>9.Избыток 100% H2SO4 в сточных водах за одни сутки</t>
  </si>
  <si>
    <t>Ик=(qсутH2SO4-(qсутH2SO4)стех)/ЭH2SO4</t>
  </si>
  <si>
    <t>кг-экв</t>
  </si>
  <si>
    <t>10.Суммарный избыток кислоты на регенерацию катионита в фильтрах Нп и Н1 по сравнению</t>
  </si>
  <si>
    <t>со стехиометрическим</t>
  </si>
  <si>
    <t>пк=qсутH2SO4/(qсутH2SO4)стех</t>
  </si>
  <si>
    <t>11.Избыток 100%NaOH в сточных водах за одни сутки                 кг-экв</t>
  </si>
  <si>
    <t>Ищ=(qсутNaOH-(qсутNaOH)стех)/ЭNaOH</t>
  </si>
  <si>
    <t>12.Суммарный избыток щелочи на регенерацию анионитов в фильтрах А1 иА2 по сравнению</t>
  </si>
  <si>
    <t>пщ=qсутNaOH/(qсутNaOH)стех</t>
  </si>
  <si>
    <t>13.Объем баков-нейтрализаторов</t>
  </si>
  <si>
    <t>Vб-н=((Vр.р.+Vотм)*m)А2+((Vр.р.+Vотм)*m)Н2+((Vр.р.+Vотм)*m)А1+((Vр.р.+Vотм)*m)Нп+</t>
  </si>
  <si>
    <t>((Ищ-Ик)*ЭH2SO4*100)/(Cр.р.*1000)</t>
  </si>
  <si>
    <t>14.Избыток щелочи при регенерации А2</t>
  </si>
  <si>
    <t>пщА2=10^3*qА2/(ЭNaOH*(f*hсл*Ер))А2</t>
  </si>
  <si>
    <t>15.Количество активной щелочи ,содержащейся в суточных стоках А2</t>
  </si>
  <si>
    <t>(дэльтаqсут)А2=mА2(qА2-qА2/пщА2)</t>
  </si>
  <si>
    <t>16.Снижение количества 100% NaOH, подаваемого на регенерацию фильтров А1</t>
  </si>
  <si>
    <t>дэльтаqА1=дэльтаqсут А2/mА1</t>
  </si>
  <si>
    <t xml:space="preserve">17.Уточненный расход свежей 100% щелочи на регенерацию фильтра А1 при установке </t>
  </si>
  <si>
    <t>промежуточных баков и насосов</t>
  </si>
  <si>
    <t>qуточнА1=qА1-дэльтаqА1</t>
  </si>
  <si>
    <t>кг/регенерацию</t>
  </si>
  <si>
    <t>NaI</t>
  </si>
  <si>
    <t>МФ</t>
  </si>
  <si>
    <t>Qст=Qст(пред)+qст.с.н</t>
  </si>
  <si>
    <t>Скорость фильтрования</t>
  </si>
  <si>
    <t>Требуемая площадь фильтрования</t>
  </si>
  <si>
    <t>F=Qст/w</t>
  </si>
  <si>
    <t xml:space="preserve">Число фильтров(в раб.+реген..) шт. </t>
  </si>
  <si>
    <t>n+np</t>
  </si>
  <si>
    <t>Площадь 1-го фильтра, м2</t>
  </si>
  <si>
    <t>f=F/n</t>
  </si>
  <si>
    <t>Стандартный фильтр, м/м2</t>
  </si>
  <si>
    <t>d/f</t>
  </si>
  <si>
    <t>2,6/5,3</t>
  </si>
  <si>
    <t>3,4/18,2</t>
  </si>
  <si>
    <t>Действительная скорость фильтрования, м/ч</t>
  </si>
  <si>
    <t>wд=Qст/fn</t>
  </si>
  <si>
    <t>Тип загружаемого материала</t>
  </si>
  <si>
    <t>сульфоуголь</t>
  </si>
  <si>
    <t>антрацит</t>
  </si>
  <si>
    <t>Рабочая емкость, г-экв/м3</t>
  </si>
  <si>
    <t>Eр</t>
  </si>
  <si>
    <t>Принятая высота слоя, м</t>
  </si>
  <si>
    <t>Продолжительность фильтроцикла, ч</t>
  </si>
  <si>
    <t>(T+t)сум=f*hсл*E*n/Qст*С</t>
  </si>
  <si>
    <t>m=24*n/(T+t)сум</t>
  </si>
  <si>
    <t>Уд. расход 100%-го реагента, кг/м3</t>
  </si>
  <si>
    <t>в</t>
  </si>
  <si>
    <t>Расход реагента на регенерацию, кг</t>
  </si>
  <si>
    <t>G=f*hсл*в</t>
  </si>
  <si>
    <t>Суточный расход реагента, кг</t>
  </si>
  <si>
    <t>Gсут=G*m</t>
  </si>
  <si>
    <t>Уд. расход воды на взрыхление, кг/см2</t>
  </si>
  <si>
    <t>Время взрыхления фильтра, мм</t>
  </si>
  <si>
    <t>Расход воды на взрыхление, м3</t>
  </si>
  <si>
    <t>Vвзр=f*i*tвзр*60/1000</t>
  </si>
  <si>
    <t>Концентрация реагентного раствора</t>
  </si>
  <si>
    <t>Срр</t>
  </si>
  <si>
    <t xml:space="preserve">Расход воды на приготовление раствора </t>
  </si>
  <si>
    <t>Vрр=G*100/Cрр*10^3</t>
  </si>
  <si>
    <t>Удельный расход на отмывку, м3</t>
  </si>
  <si>
    <t>а</t>
  </si>
  <si>
    <t>Vотм=f*hсл*а</t>
  </si>
  <si>
    <t>Суммарный расход воды на регенерацию, м3</t>
  </si>
  <si>
    <t>Vсум=Vвзр+Vрр+Vотм</t>
  </si>
  <si>
    <t>qст(с.н.)=Vсум*m/24</t>
  </si>
  <si>
    <t>Скорость пропуска регенерационного раствор, м/ч</t>
  </si>
  <si>
    <t>wрр</t>
  </si>
  <si>
    <t>Время пропуска регенерационного раствора, мин.</t>
  </si>
  <si>
    <t>tрр=Vрр*60/f*wрр</t>
  </si>
  <si>
    <t>Скорость отмывки, м/ч</t>
  </si>
  <si>
    <t>Время отмывки, мин</t>
  </si>
  <si>
    <t>tотм=Vотм*60/f*wотм</t>
  </si>
  <si>
    <t>Суммарное время регенерации, мин</t>
  </si>
  <si>
    <t>tсум=tвзр+tрр+tотм</t>
  </si>
  <si>
    <t>Время работы фильтра, час.</t>
  </si>
  <si>
    <t>T=(T+t)сум-tсум/60</t>
  </si>
  <si>
    <t>Расчет декарбонизатора с насадкой из колец Рашига</t>
  </si>
  <si>
    <t>1.Концентрация СО2 на входе в декарбонизатор</t>
  </si>
  <si>
    <t>мг/кг</t>
  </si>
  <si>
    <t>ССО2вх=44Щбост+22Щкост</t>
  </si>
  <si>
    <t>2.Количество СО2 ,удаленного в декарбонизаторе</t>
  </si>
  <si>
    <t>qСО2=Qд*(ССО2вх-ССО2вых)/1000</t>
  </si>
  <si>
    <t>3.Необходимая площадь десорбции</t>
  </si>
  <si>
    <t>Fдес=qСО2/(Кж*дэльтаССО2ср)</t>
  </si>
  <si>
    <t>Кж(30градусов)</t>
  </si>
  <si>
    <t>дэльтаССО"ср</t>
  </si>
  <si>
    <t>4.Площадь требуемой поверхности насадки</t>
  </si>
  <si>
    <t>Fнас=(1-0,075)*Fдес</t>
  </si>
  <si>
    <t>5.Объем насадки</t>
  </si>
  <si>
    <t>Vнас=Fнас/fкр</t>
  </si>
  <si>
    <t>fкр</t>
  </si>
  <si>
    <t>6.Площадь поперечного сечения декарбонизатора</t>
  </si>
  <si>
    <t>fd=Qд/s</t>
  </si>
  <si>
    <t>7.Диаметр декарбонизатора</t>
  </si>
  <si>
    <t>dд=sqr(4*fд/п)</t>
  </si>
  <si>
    <t>8.Высота насадки колец Рашига</t>
  </si>
  <si>
    <t>hнас=Vнас/fд</t>
  </si>
  <si>
    <t>9.Расход воздуха на декарбонизацию воды</t>
  </si>
  <si>
    <t>Qвозд=40*Qд</t>
  </si>
  <si>
    <t>10.Аэродинамическое сопротивление декарбонизатора</t>
  </si>
  <si>
    <t>Нд=30*hнас+40</t>
  </si>
  <si>
    <t>мм.вод.ст.</t>
  </si>
  <si>
    <t>Расчет осветлителя</t>
  </si>
  <si>
    <t>НАЗВАНИЕ ВЕЛИЧИНЫ</t>
  </si>
  <si>
    <t>ФОРМУЛА</t>
  </si>
  <si>
    <t>1.Часовой расход воды после осветлителя</t>
  </si>
  <si>
    <t>Qосв.</t>
  </si>
  <si>
    <t>Qн+qс.н.</t>
  </si>
  <si>
    <t>2.Количество осветлителей</t>
  </si>
  <si>
    <t>3.Часовой расход воды на продувку</t>
  </si>
  <si>
    <t>qпр.</t>
  </si>
  <si>
    <t>Qосв.*0,03</t>
  </si>
  <si>
    <t>4.Единичная производительность</t>
  </si>
  <si>
    <t>Qо</t>
  </si>
  <si>
    <t>1,25*Qосв./n+qпр.</t>
  </si>
  <si>
    <t>5.Тип осветлителя</t>
  </si>
  <si>
    <t>ВТИ</t>
  </si>
  <si>
    <t>Схема  ВПУ (ионитная часть)</t>
  </si>
  <si>
    <r>
      <t>Инструкция</t>
    </r>
    <r>
      <rPr>
        <sz val="10"/>
        <rFont val="Arial Cyr"/>
        <family val="0"/>
      </rPr>
      <t xml:space="preserve">  по выполнению расчета (данный лист).</t>
    </r>
  </si>
  <si>
    <r>
      <t xml:space="preserve">Использованная </t>
    </r>
    <r>
      <rPr>
        <b/>
        <sz val="10"/>
        <rFont val="Arial Cyr"/>
        <family val="2"/>
      </rPr>
      <t>Литература</t>
    </r>
  </si>
  <si>
    <r>
      <t>Выбор проектной производительности ВПУ в зависимости от параметров ТЭС или АЭС (</t>
    </r>
    <r>
      <rPr>
        <b/>
        <sz val="10"/>
        <rFont val="Arial Cyr"/>
        <family val="2"/>
      </rPr>
      <t>Выбор Qвпу</t>
    </r>
    <r>
      <rPr>
        <sz val="10"/>
        <rFont val="Arial Cyr"/>
        <family val="0"/>
      </rPr>
      <t>)</t>
    </r>
  </si>
  <si>
    <r>
      <t>Сводная таблица по воде выбранного источника водоснабжения (</t>
    </r>
    <r>
      <rPr>
        <b/>
        <sz val="10"/>
        <rFont val="Arial Cyr"/>
        <family val="2"/>
      </rPr>
      <t>Исх.вода</t>
    </r>
    <r>
      <rPr>
        <sz val="10"/>
        <rFont val="Arial Cyr"/>
        <family val="0"/>
      </rPr>
      <t>)</t>
    </r>
  </si>
  <si>
    <r>
      <t>Круговая диаграмма по составу исходной воды (</t>
    </r>
    <r>
      <rPr>
        <b/>
        <sz val="10"/>
        <rFont val="Arial Cyr"/>
        <family val="2"/>
      </rPr>
      <t>Диаг.1</t>
    </r>
    <r>
      <rPr>
        <sz val="10"/>
        <rFont val="Arial Cyr"/>
        <family val="0"/>
      </rPr>
      <t>)</t>
    </r>
  </si>
  <si>
    <r>
      <t>Диаграмма изменения качества воды после предочистки (</t>
    </r>
    <r>
      <rPr>
        <b/>
        <sz val="10"/>
        <rFont val="Arial Cyr"/>
        <family val="2"/>
      </rPr>
      <t>Диаг.2</t>
    </r>
    <r>
      <rPr>
        <sz val="10"/>
        <rFont val="Arial Cyr"/>
        <family val="0"/>
      </rPr>
      <t>)</t>
    </r>
  </si>
  <si>
    <t>27.Полное количество анионита АВ-17, которое надо заготовить для работы ФСД</t>
  </si>
  <si>
    <t>26.Полное кол-во катионита КУ-2, которое надо заготовить для 5 лет работы ФСД</t>
  </si>
  <si>
    <r>
      <t>Основные парамеры предочистки (</t>
    </r>
    <r>
      <rPr>
        <b/>
        <sz val="10"/>
        <rFont val="Arial Cyr"/>
        <family val="2"/>
      </rPr>
      <t>Предочистка</t>
    </r>
    <r>
      <rPr>
        <sz val="10"/>
        <rFont val="Arial Cyr"/>
        <family val="0"/>
      </rPr>
      <t>)</t>
    </r>
  </si>
  <si>
    <r>
      <t>Расчет фильтров смешанного действия (</t>
    </r>
    <r>
      <rPr>
        <b/>
        <sz val="10"/>
        <rFont val="Arial Cyr"/>
        <family val="2"/>
      </rPr>
      <t>ФСД</t>
    </r>
    <r>
      <rPr>
        <sz val="10"/>
        <rFont val="Arial Cyr"/>
        <family val="0"/>
      </rPr>
      <t>)</t>
    </r>
  </si>
  <si>
    <r>
      <t>Параметры механических фильтров и фильтров первых двух ступеней ионирования (</t>
    </r>
    <r>
      <rPr>
        <b/>
        <sz val="10"/>
        <rFont val="Arial Cyr"/>
        <family val="2"/>
      </rPr>
      <t>А2-Н2-А1-Н1-М</t>
    </r>
    <r>
      <rPr>
        <sz val="10"/>
        <rFont val="Arial Cyr"/>
        <family val="0"/>
      </rPr>
      <t>)</t>
    </r>
  </si>
  <si>
    <r>
      <t>м</t>
    </r>
    <r>
      <rPr>
        <vertAlign val="superscript"/>
        <sz val="12"/>
        <rFont val="Arial Cyr"/>
        <family val="2"/>
      </rPr>
      <t>2</t>
    </r>
  </si>
  <si>
    <r>
      <t>м</t>
    </r>
    <r>
      <rPr>
        <vertAlign val="superscript"/>
        <sz val="12"/>
        <rFont val="Arial Cyr"/>
        <family val="2"/>
      </rPr>
      <t>3</t>
    </r>
  </si>
  <si>
    <r>
      <t>м</t>
    </r>
    <r>
      <rPr>
        <vertAlign val="superscript"/>
        <sz val="12"/>
        <rFont val="Arial Cyr"/>
        <family val="2"/>
      </rPr>
      <t>3</t>
    </r>
    <r>
      <rPr>
        <sz val="12"/>
        <rFont val="Arial Cyr"/>
        <family val="2"/>
      </rPr>
      <t>/ч</t>
    </r>
  </si>
  <si>
    <t>и другие листы по вспомогательным расчетам ВПУ</t>
  </si>
  <si>
    <r>
      <t>Схема ионитной части ВПУ с основными параметрами ионитных фильтров (</t>
    </r>
    <r>
      <rPr>
        <b/>
        <sz val="10"/>
        <rFont val="Arial Cyr"/>
        <family val="2"/>
      </rPr>
      <t>Схема ВПУ</t>
    </r>
    <r>
      <rPr>
        <sz val="10"/>
        <rFont val="Arial Cyr"/>
        <family val="0"/>
      </rPr>
      <t>)</t>
    </r>
  </si>
  <si>
    <r>
      <t>H</t>
    </r>
    <r>
      <rPr>
        <vertAlign val="sub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SO</t>
    </r>
    <r>
      <rPr>
        <vertAlign val="subscript"/>
        <sz val="10"/>
        <color indexed="8"/>
        <rFont val="Arial Cyr"/>
        <family val="2"/>
      </rPr>
      <t xml:space="preserve">4 </t>
    </r>
    <r>
      <rPr>
        <sz val="10"/>
        <color indexed="8"/>
        <rFont val="Arial Cyr"/>
        <family val="2"/>
      </rPr>
      <t>(кг/сут)</t>
    </r>
  </si>
  <si>
    <t>d (м)</t>
  </si>
  <si>
    <t>h (м)</t>
  </si>
  <si>
    <t>n (шт)</t>
  </si>
  <si>
    <r>
      <t>NaOH</t>
    </r>
    <r>
      <rPr>
        <vertAlign val="subscript"/>
        <sz val="10"/>
        <color indexed="8"/>
        <rFont val="Arial Cyr"/>
        <family val="2"/>
      </rPr>
      <t xml:space="preserve"> </t>
    </r>
    <r>
      <rPr>
        <sz val="10"/>
        <color indexed="8"/>
        <rFont val="Arial Cyr"/>
        <family val="2"/>
      </rPr>
      <t>(кг/сут)</t>
    </r>
  </si>
  <si>
    <t>АН-31</t>
  </si>
  <si>
    <r>
      <t>Qсн (м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>/ч)</t>
    </r>
  </si>
  <si>
    <r>
      <t>Q (м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>/ч)=</t>
    </r>
  </si>
  <si>
    <t>Т фильтроц (ч)</t>
  </si>
  <si>
    <t>Выбор проектной производительности ВПУ</t>
  </si>
  <si>
    <r>
      <t>м</t>
    </r>
    <r>
      <rPr>
        <b/>
        <vertAlign val="superscript"/>
        <sz val="18"/>
        <color indexed="12"/>
        <rFont val="Arial Cyr"/>
        <family val="2"/>
      </rPr>
      <t>3</t>
    </r>
    <r>
      <rPr>
        <b/>
        <sz val="18"/>
        <color indexed="12"/>
        <rFont val="Arial Cyr"/>
        <family val="2"/>
      </rPr>
      <t>/ч</t>
    </r>
  </si>
  <si>
    <t>Мощность блока:</t>
  </si>
  <si>
    <r>
      <t>Сводная таблица изменения качества воды по ступеням (</t>
    </r>
    <r>
      <rPr>
        <b/>
        <sz val="10"/>
        <rFont val="Arial Cyr"/>
        <family val="2"/>
      </rPr>
      <t>Кач.воды по ступ.</t>
    </r>
    <r>
      <rPr>
        <sz val="10"/>
        <rFont val="Arial Cyr"/>
        <family val="0"/>
      </rPr>
      <t>).</t>
    </r>
  </si>
  <si>
    <r>
      <t xml:space="preserve">Заменять можно только данные, прописанные </t>
    </r>
    <r>
      <rPr>
        <b/>
        <i/>
        <sz val="14"/>
        <color indexed="17"/>
        <rFont val="Arial Cyr"/>
        <family val="2"/>
      </rPr>
      <t>зеленым</t>
    </r>
    <r>
      <rPr>
        <sz val="14"/>
        <rFont val="Arial Cyr"/>
        <family val="2"/>
      </rPr>
      <t xml:space="preserve"> цветом</t>
    </r>
  </si>
  <si>
    <t>Инструкция  по выполнению расчета</t>
  </si>
  <si>
    <t>Книга состоит из листов со следующими названиями, которые выделены п/ж шрифтом:</t>
  </si>
  <si>
    <r>
      <t xml:space="preserve">База данных по </t>
    </r>
    <r>
      <rPr>
        <b/>
        <sz val="10"/>
        <rFont val="Arial Cyr"/>
        <family val="2"/>
      </rPr>
      <t>источникам водоснабжения</t>
    </r>
    <r>
      <rPr>
        <sz val="10"/>
        <rFont val="Arial Cyr"/>
        <family val="0"/>
      </rPr>
      <t xml:space="preserve"> (Россия и СНГ - базу можно расширять, вводя новые записи) </t>
    </r>
  </si>
  <si>
    <t xml:space="preserve"> В таблице имеется кнопка, нажав которую можно ввести в расчет новый источник водоснабжения, </t>
  </si>
  <si>
    <t>указав предварительно его строку</t>
  </si>
  <si>
    <t xml:space="preserve"> В таблице имеется кнопка, нажав которую можно расчитать равновесные концентрации ионов в воде после предочистки.</t>
  </si>
  <si>
    <r>
      <t>Диаграмма изменения значения рН по ступеням (</t>
    </r>
    <r>
      <rPr>
        <b/>
        <sz val="10"/>
        <rFont val="Arial Cyr"/>
        <family val="2"/>
      </rPr>
      <t>Диаг.3</t>
    </r>
    <r>
      <rPr>
        <sz val="10"/>
        <rFont val="Arial Cyr"/>
        <family val="0"/>
      </rPr>
      <t>)</t>
    </r>
  </si>
  <si>
    <t>3. Копылов А.С., Очков В.Ф., Чудова Ю.В. Процессы и аппараты передовых технологий водоподготовки и их программированные расчеты - М.: Издательский дом МЭИ. 2009. 222 с.: ил. ISBN 978-5-383-00223-0</t>
  </si>
  <si>
    <t xml:space="preserve">2. Копылов А.С., Лавыгин В.М., Очков В.Ф. Водоподготовка в энергетике. М.: Изд-во МЭИ, 2003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</si>
</sst>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00000"/>
    <numFmt numFmtId="180" formatCode="0.000000000"/>
    <numFmt numFmtId="181" formatCode="0.0E+00"/>
  </numFmts>
  <fonts count="9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color indexed="39"/>
      <name val="Arial Cyr"/>
      <family val="2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2"/>
      <name val="Arial Cyr"/>
      <family val="2"/>
    </font>
    <font>
      <sz val="10"/>
      <name val="Times New Roman Cyr"/>
      <family val="1"/>
    </font>
    <font>
      <sz val="10"/>
      <color indexed="12"/>
      <name val="Arial Cyr"/>
      <family val="2"/>
    </font>
    <font>
      <b/>
      <sz val="16"/>
      <color indexed="12"/>
      <name val="Arial Cyr"/>
      <family val="0"/>
    </font>
    <font>
      <b/>
      <sz val="10"/>
      <color indexed="12"/>
      <name val="Arial Cyr"/>
      <family val="0"/>
    </font>
    <font>
      <b/>
      <sz val="16"/>
      <color indexed="39"/>
      <name val="Arial Cyr"/>
      <family val="0"/>
    </font>
    <font>
      <b/>
      <sz val="20"/>
      <color indexed="12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6"/>
      <name val="Arial Cyr"/>
      <family val="2"/>
    </font>
    <font>
      <i/>
      <sz val="10"/>
      <color indexed="10"/>
      <name val="Arial Cyr"/>
      <family val="2"/>
    </font>
    <font>
      <b/>
      <sz val="20"/>
      <color indexed="10"/>
      <name val="Arial Cyr"/>
      <family val="2"/>
    </font>
    <font>
      <sz val="10"/>
      <color indexed="8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vertAlign val="subscript"/>
      <sz val="12"/>
      <name val="Arial Cyr"/>
      <family val="2"/>
    </font>
    <font>
      <vertAlign val="superscript"/>
      <sz val="12"/>
      <name val="Arial Cyr"/>
      <family val="2"/>
    </font>
    <font>
      <b/>
      <sz val="14"/>
      <color indexed="12"/>
      <name val="Arial Cyr"/>
      <family val="2"/>
    </font>
    <font>
      <sz val="14"/>
      <name val="Arial Cyr"/>
      <family val="2"/>
    </font>
    <font>
      <vertAlign val="superscript"/>
      <sz val="14"/>
      <name val="Arial Cyr"/>
      <family val="2"/>
    </font>
    <font>
      <vertAlign val="subscript"/>
      <sz val="14"/>
      <name val="Arial Cyr"/>
      <family val="2"/>
    </font>
    <font>
      <sz val="11"/>
      <color indexed="12"/>
      <name val="Arial Cyr"/>
      <family val="2"/>
    </font>
    <font>
      <vertAlign val="superscript"/>
      <sz val="11"/>
      <color indexed="12"/>
      <name val="Arial Cyr"/>
      <family val="2"/>
    </font>
    <font>
      <vertAlign val="subscript"/>
      <sz val="11"/>
      <color indexed="12"/>
      <name val="Arial Cyr"/>
      <family val="2"/>
    </font>
    <font>
      <b/>
      <sz val="12"/>
      <color indexed="10"/>
      <name val="Times New Roman Cyr"/>
      <family val="1"/>
    </font>
    <font>
      <sz val="16"/>
      <color indexed="12"/>
      <name val="Arial Cyr"/>
      <family val="2"/>
    </font>
    <font>
      <sz val="12"/>
      <color indexed="10"/>
      <name val="Arial Cyr"/>
      <family val="2"/>
    </font>
    <font>
      <b/>
      <sz val="18"/>
      <color indexed="12"/>
      <name val="Arial Cyr"/>
      <family val="2"/>
    </font>
    <font>
      <i/>
      <sz val="10"/>
      <color indexed="17"/>
      <name val="Arial Cyr"/>
      <family val="2"/>
    </font>
    <font>
      <b/>
      <i/>
      <sz val="10"/>
      <color indexed="17"/>
      <name val="Arial Cyr"/>
      <family val="2"/>
    </font>
    <font>
      <b/>
      <sz val="10"/>
      <color indexed="17"/>
      <name val="Arial Cyr"/>
      <family val="2"/>
    </font>
    <font>
      <b/>
      <i/>
      <sz val="12"/>
      <color indexed="17"/>
      <name val="Arial Cyr"/>
      <family val="2"/>
    </font>
    <font>
      <vertAlign val="subscript"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2"/>
      <color indexed="17"/>
      <name val="Arial Cyr"/>
      <family val="2"/>
    </font>
    <font>
      <b/>
      <i/>
      <sz val="14"/>
      <color indexed="17"/>
      <name val="Arial Cyr"/>
      <family val="2"/>
    </font>
    <font>
      <b/>
      <vertAlign val="superscript"/>
      <sz val="18"/>
      <color indexed="12"/>
      <name val="Arial Cyr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9"/>
      <name val="Arial"/>
      <family val="0"/>
    </font>
    <font>
      <b/>
      <sz val="12"/>
      <color indexed="8"/>
      <name val="Arial"/>
      <family val="0"/>
    </font>
    <font>
      <sz val="16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8.4"/>
      <color indexed="8"/>
      <name val="Arial Cyr"/>
      <family val="0"/>
    </font>
    <font>
      <sz val="14"/>
      <color indexed="8"/>
      <name val="Times New Roman Cyr"/>
      <family val="0"/>
    </font>
    <font>
      <sz val="18"/>
      <color indexed="8"/>
      <name val="Times New Roman Cyr"/>
      <family val="0"/>
    </font>
    <font>
      <sz val="16"/>
      <color indexed="8"/>
      <name val="Times New Roman Cyr"/>
      <family val="0"/>
    </font>
    <font>
      <sz val="20"/>
      <color indexed="8"/>
      <name val="Times New Roman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5" xfId="0" applyFont="1" applyFill="1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8" xfId="0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7" fillId="33" borderId="0" xfId="0" applyFont="1" applyFill="1" applyAlignment="1">
      <alignment/>
    </xf>
    <xf numFmtId="0" fontId="20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14" fillId="0" borderId="0" xfId="0" applyFont="1" applyAlignment="1" quotePrefix="1">
      <alignment horizontal="left"/>
    </xf>
    <xf numFmtId="175" fontId="0" fillId="0" borderId="0" xfId="0" applyNumberFormat="1" applyAlignment="1">
      <alignment/>
    </xf>
    <xf numFmtId="0" fontId="0" fillId="0" borderId="18" xfId="0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 quotePrefix="1">
      <alignment horizontal="left"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174" fontId="0" fillId="0" borderId="22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23" xfId="0" applyBorder="1" applyAlignment="1" quotePrefix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74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2" fontId="0" fillId="0" borderId="25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8" fillId="0" borderId="21" xfId="0" applyFont="1" applyBorder="1" applyAlignment="1" quotePrefix="1">
      <alignment horizontal="center"/>
    </xf>
    <xf numFmtId="0" fontId="0" fillId="0" borderId="27" xfId="0" applyBorder="1" applyAlignment="1" quotePrefix="1">
      <alignment horizontal="center" wrapText="1"/>
    </xf>
    <xf numFmtId="173" fontId="0" fillId="0" borderId="21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0" fontId="0" fillId="0" borderId="27" xfId="0" applyBorder="1" applyAlignment="1" quotePrefix="1">
      <alignment horizontal="center" vertical="center" wrapText="1"/>
    </xf>
    <xf numFmtId="2" fontId="0" fillId="0" borderId="28" xfId="0" applyNumberFormat="1" applyBorder="1" applyAlignment="1" applyProtection="1">
      <alignment horizontal="center"/>
      <protection locked="0"/>
    </xf>
    <xf numFmtId="175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 horizontal="center"/>
      <protection/>
    </xf>
    <xf numFmtId="174" fontId="0" fillId="0" borderId="23" xfId="0" applyNumberFormat="1" applyBorder="1" applyAlignment="1" applyProtection="1">
      <alignment horizontal="center"/>
      <protection/>
    </xf>
    <xf numFmtId="0" fontId="0" fillId="0" borderId="29" xfId="0" applyBorder="1" applyAlignment="1" applyProtection="1" quotePrefix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10" fontId="0" fillId="0" borderId="23" xfId="0" applyNumberFormat="1" applyBorder="1" applyAlignment="1" applyProtection="1">
      <alignment horizontal="center"/>
      <protection/>
    </xf>
    <xf numFmtId="175" fontId="0" fillId="0" borderId="29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3" fontId="0" fillId="0" borderId="23" xfId="0" applyNumberFormat="1" applyBorder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174" fontId="9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33" xfId="0" applyBorder="1" applyAlignment="1">
      <alignment horizontal="center"/>
    </xf>
    <xf numFmtId="0" fontId="1" fillId="0" borderId="34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 quotePrefix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 quotePrefix="1">
      <alignment horizontal="center" vertical="top" wrapText="1"/>
    </xf>
    <xf numFmtId="0" fontId="16" fillId="0" borderId="31" xfId="0" applyFont="1" applyFill="1" applyBorder="1" applyAlignment="1" quotePrefix="1">
      <alignment horizontal="center" vertical="top"/>
    </xf>
    <xf numFmtId="0" fontId="0" fillId="0" borderId="0" xfId="0" applyAlignment="1" quotePrefix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Border="1" applyAlignment="1" applyProtection="1" quotePrefix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27" fillId="0" borderId="29" xfId="0" applyFont="1" applyBorder="1" applyAlignment="1" applyProtection="1" quotePrefix="1">
      <alignment horizontal="left"/>
      <protection/>
    </xf>
    <xf numFmtId="0" fontId="30" fillId="0" borderId="37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9" xfId="0" applyFont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175" fontId="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1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175" fontId="37" fillId="0" borderId="21" xfId="0" applyNumberFormat="1" applyFont="1" applyBorder="1" applyAlignment="1">
      <alignment horizontal="center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21" xfId="0" applyFont="1" applyBorder="1" applyAlignment="1" applyProtection="1">
      <alignment horizontal="center"/>
      <protection locked="0"/>
    </xf>
    <xf numFmtId="2" fontId="38" fillId="0" borderId="19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8" fillId="0" borderId="29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0" fillId="0" borderId="21" xfId="0" applyFont="1" applyBorder="1" applyAlignment="1" quotePrefix="1">
      <alignment horizontal="left" wrapText="1"/>
    </xf>
    <xf numFmtId="0" fontId="0" fillId="0" borderId="28" xfId="0" applyFont="1" applyBorder="1" applyAlignment="1">
      <alignment wrapText="1"/>
    </xf>
    <xf numFmtId="0" fontId="0" fillId="0" borderId="22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1" xfId="0" applyFont="1" applyBorder="1" applyAlignment="1" quotePrefix="1">
      <alignment horizontal="center" vertical="top"/>
    </xf>
    <xf numFmtId="175" fontId="0" fillId="0" borderId="29" xfId="0" applyNumberFormat="1" applyFont="1" applyBorder="1" applyAlignment="1">
      <alignment horizontal="center" vertical="top"/>
    </xf>
    <xf numFmtId="175" fontId="0" fillId="0" borderId="23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" fontId="38" fillId="0" borderId="29" xfId="0" applyNumberFormat="1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  <xf numFmtId="175" fontId="39" fillId="0" borderId="23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1" fontId="39" fillId="0" borderId="23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74" fontId="0" fillId="0" borderId="29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175" fontId="10" fillId="0" borderId="23" xfId="0" applyNumberFormat="1" applyFont="1" applyBorder="1" applyAlignment="1">
      <alignment horizontal="center" vertical="top"/>
    </xf>
    <xf numFmtId="0" fontId="38" fillId="0" borderId="29" xfId="0" applyFont="1" applyBorder="1" applyAlignment="1" quotePrefix="1">
      <alignment horizontal="center" vertical="top"/>
    </xf>
    <xf numFmtId="0" fontId="39" fillId="0" borderId="29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175" fontId="0" fillId="0" borderId="29" xfId="0" applyNumberFormat="1" applyFont="1" applyBorder="1" applyAlignment="1" quotePrefix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174" fontId="0" fillId="0" borderId="23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40" fillId="0" borderId="0" xfId="0" applyFont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38" fillId="0" borderId="0" xfId="0" applyFont="1" applyAlignment="1" applyProtection="1">
      <alignment/>
      <protection locked="0"/>
    </xf>
    <xf numFmtId="0" fontId="38" fillId="0" borderId="37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22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21" fillId="33" borderId="25" xfId="0" applyFont="1" applyFill="1" applyBorder="1" applyAlignment="1">
      <alignment/>
    </xf>
    <xf numFmtId="0" fontId="21" fillId="33" borderId="25" xfId="0" applyFont="1" applyFill="1" applyBorder="1" applyAlignment="1">
      <alignment horizontal="center"/>
    </xf>
    <xf numFmtId="0" fontId="21" fillId="33" borderId="26" xfId="0" applyFont="1" applyFill="1" applyBorder="1" applyAlignment="1">
      <alignment/>
    </xf>
    <xf numFmtId="0" fontId="21" fillId="33" borderId="38" xfId="0" applyFont="1" applyFill="1" applyBorder="1" applyAlignment="1">
      <alignment horizontal="center"/>
    </xf>
    <xf numFmtId="0" fontId="21" fillId="33" borderId="38" xfId="0" applyFont="1" applyFill="1" applyBorder="1" applyAlignment="1">
      <alignment/>
    </xf>
    <xf numFmtId="0" fontId="21" fillId="34" borderId="38" xfId="0" applyFont="1" applyFill="1" applyBorder="1" applyAlignment="1">
      <alignment horizontal="center"/>
    </xf>
    <xf numFmtId="1" fontId="21" fillId="34" borderId="38" xfId="0" applyNumberFormat="1" applyFont="1" applyFill="1" applyBorder="1" applyAlignment="1">
      <alignment horizontal="center"/>
    </xf>
    <xf numFmtId="2" fontId="21" fillId="34" borderId="38" xfId="0" applyNumberFormat="1" applyFont="1" applyFill="1" applyBorder="1" applyAlignment="1">
      <alignment horizontal="center"/>
    </xf>
    <xf numFmtId="0" fontId="21" fillId="33" borderId="34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8" fillId="0" borderId="29" xfId="0" applyFont="1" applyBorder="1" applyAlignment="1" applyProtection="1">
      <alignment horizontal="center"/>
      <protection locked="0"/>
    </xf>
    <xf numFmtId="0" fontId="38" fillId="0" borderId="28" xfId="0" applyFont="1" applyBorder="1" applyAlignment="1" applyProtection="1">
      <alignment horizontal="center"/>
      <protection locked="0"/>
    </xf>
    <xf numFmtId="0" fontId="21" fillId="34" borderId="31" xfId="0" applyFont="1" applyFill="1" applyBorder="1" applyAlignment="1">
      <alignment horizontal="center"/>
    </xf>
    <xf numFmtId="2" fontId="21" fillId="34" borderId="31" xfId="0" applyNumberFormat="1" applyFont="1" applyFill="1" applyBorder="1" applyAlignment="1">
      <alignment horizontal="center"/>
    </xf>
    <xf numFmtId="175" fontId="21" fillId="0" borderId="3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38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/>
    </xf>
    <xf numFmtId="175" fontId="9" fillId="0" borderId="25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0" fontId="23" fillId="0" borderId="0" xfId="0" applyFont="1" applyAlignment="1">
      <alignment/>
    </xf>
    <xf numFmtId="0" fontId="40" fillId="0" borderId="0" xfId="0" applyFont="1" applyBorder="1" applyAlignment="1" applyProtection="1">
      <alignment/>
      <protection locked="0"/>
    </xf>
    <xf numFmtId="0" fontId="40" fillId="0" borderId="19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175" fontId="43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нормальных концентраций основных ионов в воде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3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95"/>
          <c:y val="0.2905"/>
          <c:w val="0.53"/>
          <c:h val="0.48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'Исх.вода'!$B$7:$B$14</c:f>
              <c:strCache>
                <c:ptCount val="8"/>
                <c:pt idx="0">
                  <c:v>Na+</c:v>
                </c:pt>
                <c:pt idx="1">
                  <c:v>K+</c:v>
                </c:pt>
                <c:pt idx="2">
                  <c:v>Ca2+</c:v>
                </c:pt>
                <c:pt idx="3">
                  <c:v>Mg2+</c:v>
                </c:pt>
                <c:pt idx="4">
                  <c:v>Cl-</c:v>
                </c:pt>
                <c:pt idx="5">
                  <c:v>SO42-</c:v>
                </c:pt>
                <c:pt idx="6">
                  <c:v>HCO3-</c:v>
                </c:pt>
                <c:pt idx="7">
                  <c:v>NO3-</c:v>
                </c:pt>
              </c:strCache>
            </c:strRef>
          </c:cat>
          <c:val>
            <c:numRef>
              <c:f>'Исх.вода'!$F$7:$F$14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1.3166666666666667</c:v>
                </c:pt>
                <c:pt idx="4">
                  <c:v>0.7183098591549296</c:v>
                </c:pt>
                <c:pt idx="5">
                  <c:v>0.28125</c:v>
                </c:pt>
                <c:pt idx="6">
                  <c:v>3.2950819672131146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Изменение качества воды после предочистки (равновесные концентрации)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75"/>
          <c:w val="0.84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До предочистки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'Кач.воды по ступ.'!$B$5:$B$12</c:f>
              <c:strCache>
                <c:ptCount val="8"/>
                <c:pt idx="0">
                  <c:v>Na+</c:v>
                </c:pt>
                <c:pt idx="1">
                  <c:v>K+</c:v>
                </c:pt>
                <c:pt idx="2">
                  <c:v>Ca2+</c:v>
                </c:pt>
                <c:pt idx="3">
                  <c:v>Mg2+</c:v>
                </c:pt>
                <c:pt idx="4">
                  <c:v>Cl-</c:v>
                </c:pt>
                <c:pt idx="5">
                  <c:v>SO42-</c:v>
                </c:pt>
                <c:pt idx="6">
                  <c:v>HCO3-</c:v>
                </c:pt>
                <c:pt idx="7">
                  <c:v>NO3-</c:v>
                </c:pt>
              </c:strCache>
            </c:strRef>
          </c:cat>
          <c:val>
            <c:numRef>
              <c:f>'Кач.воды по ступ.'!$D$5:$D$12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1.3166666666666667</c:v>
                </c:pt>
                <c:pt idx="4">
                  <c:v>0.7183098591549296</c:v>
                </c:pt>
                <c:pt idx="5">
                  <c:v>0.28125</c:v>
                </c:pt>
                <c:pt idx="6">
                  <c:v>3.2950819672131146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После предочистки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'Кач.воды по ступ.'!$E$5:$E$12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1.4815881007208556</c:v>
                </c:pt>
                <c:pt idx="3">
                  <c:v>0.39212353896756247</c:v>
                </c:pt>
                <c:pt idx="4">
                  <c:v>0.7183098591549296</c:v>
                </c:pt>
                <c:pt idx="5">
                  <c:v>0.78125</c:v>
                </c:pt>
                <c:pt idx="6">
                  <c:v>0.008006903612611254</c:v>
                </c:pt>
                <c:pt idx="7">
                  <c:v>0</c:v>
                </c:pt>
              </c:numCache>
            </c:numRef>
          </c:val>
        </c:ser>
        <c:gapWidth val="60"/>
        <c:axId val="40449225"/>
        <c:axId val="28498706"/>
      </c:barChart>
      <c:catAx>
        <c:axId val="40449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Ионы в воде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98706"/>
        <c:crosses val="autoZero"/>
        <c:auto val="0"/>
        <c:lblOffset val="100"/>
        <c:tickLblSkip val="1"/>
        <c:noMultiLvlLbl val="0"/>
      </c:catAx>
      <c:valAx>
        <c:axId val="28498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мг-экв/л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49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364"/>
          <c:y val="0.20675"/>
          <c:w val="0.2927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Изменение значения рН по ступеням водоподготовки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2"/>
          <c:w val="0.86625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'Кач.воды по ступ.'!$D$3:$L$3</c:f>
              <c:strCache>
                <c:ptCount val="9"/>
                <c:pt idx="0">
                  <c:v>Исходная вода</c:v>
                </c:pt>
                <c:pt idx="1">
                  <c:v>ИК (равнов. конц.)</c:v>
                </c:pt>
                <c:pt idx="2">
                  <c:v>ИК (реальные конц.)</c:v>
                </c:pt>
                <c:pt idx="3">
                  <c:v>Механические фильтры</c:v>
                </c:pt>
                <c:pt idx="4">
                  <c:v>H1</c:v>
                </c:pt>
                <c:pt idx="5">
                  <c:v>A1</c:v>
                </c:pt>
                <c:pt idx="6">
                  <c:v>H2</c:v>
                </c:pt>
                <c:pt idx="7">
                  <c:v>Д</c:v>
                </c:pt>
                <c:pt idx="8">
                  <c:v>A2</c:v>
                </c:pt>
              </c:strCache>
            </c:strRef>
          </c:cat>
          <c:val>
            <c:numRef>
              <c:f>'Кач.воды по ступ.'!$D$24:$L$24</c:f>
              <c:numCache>
                <c:ptCount val="9"/>
                <c:pt idx="0">
                  <c:v>0</c:v>
                </c:pt>
                <c:pt idx="1">
                  <c:v>10.2</c:v>
                </c:pt>
                <c:pt idx="2">
                  <c:v>10.2</c:v>
                </c:pt>
                <c:pt idx="3">
                  <c:v>10.2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5161763"/>
        <c:axId val="26693820"/>
      </c:lineChart>
      <c:catAx>
        <c:axId val="5516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Ступень водоподготовки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693820"/>
        <c:crosses val="autoZero"/>
        <c:auto val="0"/>
        <c:lblOffset val="100"/>
        <c:tickLblSkip val="1"/>
        <c:noMultiLvlLbl val="0"/>
      </c:catAx>
      <c:valAx>
        <c:axId val="2669382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Значение рН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25"/>
          <c:w val="0.844"/>
          <c:h val="0.93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сульфоугля'!$A$3:$A$13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сульфоугля'!$B$3:$B$13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сульфоугля'!$C$3:$C$13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сульфоугля'!$D$3:$D$13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сульфоугля'!$E$3:$E$13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сульфоугля'!$F$3:$F$13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сульфоугля'!$G$3:$G$13</c:f>
              <c:numCache/>
            </c:numRef>
          </c:val>
          <c:smooth val="0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782"/>
        <c:crosses val="autoZero"/>
        <c:auto val="0"/>
        <c:lblOffset val="100"/>
        <c:tickLblSkip val="1"/>
        <c:noMultiLvlLbl val="0"/>
      </c:catAx>
      <c:valAx>
        <c:axId val="147157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6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8"/>
  <sheetViews>
    <sheetView workbookViewId="0"/>
  </sheetViews>
  <pageMargins left="0.75" right="0.75" top="1" bottom="1" header="0.5" footer="0.5"/>
  <pageSetup horizontalDpi="180" verticalDpi="180" orientation="landscape" paperSize="9"/>
  <headerFooter>
    <oddHeader>&amp;A</oddHeader>
    <oddFooter>Стр.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9"/>
  <sheetViews>
    <sheetView workbookViewId="0"/>
  </sheetViews>
  <pageMargins left="0.7874015748031497" right="0.7874015748031497" top="0.984251968503937" bottom="0" header="0.65" footer="0.12"/>
  <pageSetup horizontalDpi="240" verticalDpi="240" orientation="landscape" paperSize="9"/>
  <headerFooter>
    <oddHeader>&amp;A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496050"/>
    <xdr:graphicFrame>
      <xdr:nvGraphicFramePr>
        <xdr:cNvPr id="1" name="Shape 1025"/>
        <xdr:cNvGraphicFramePr/>
      </xdr:nvGraphicFramePr>
      <xdr:xfrm>
        <a:off x="0" y="0"/>
        <a:ext cx="92392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752725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264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456247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685800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5991225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133350</xdr:colOff>
      <xdr:row>4</xdr:row>
      <xdr:rowOff>0</xdr:rowOff>
    </xdr:to>
    <xdr:sp>
      <xdr:nvSpPr>
        <xdr:cNvPr id="5" name="Line 16"/>
        <xdr:cNvSpPr>
          <a:spLocks/>
        </xdr:cNvSpPr>
      </xdr:nvSpPr>
      <xdr:spPr>
        <a:xfrm flipV="1">
          <a:off x="7096125" y="990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123825</xdr:rowOff>
    </xdr:from>
    <xdr:to>
      <xdr:col>9</xdr:col>
      <xdr:colOff>28575</xdr:colOff>
      <xdr:row>31</xdr:row>
      <xdr:rowOff>76200</xdr:rowOff>
    </xdr:to>
    <xdr:graphicFrame>
      <xdr:nvGraphicFramePr>
        <xdr:cNvPr id="1" name="Chart 3"/>
        <xdr:cNvGraphicFramePr/>
      </xdr:nvGraphicFramePr>
      <xdr:xfrm>
        <a:off x="85725" y="2228850"/>
        <a:ext cx="6200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1"/>
  <sheetViews>
    <sheetView zoomScalePageLayoutView="0" workbookViewId="0" topLeftCell="A1">
      <selection activeCell="B13" sqref="B13"/>
    </sheetView>
  </sheetViews>
  <sheetFormatPr defaultColWidth="0" defaultRowHeight="12.75" zeroHeight="1"/>
  <cols>
    <col min="1" max="1" width="3.00390625" style="0" bestFit="1" customWidth="1"/>
    <col min="2" max="13" width="9.125" style="0" customWidth="1"/>
    <col min="14" max="16384" width="0" style="0" hidden="1" customWidth="1"/>
  </cols>
  <sheetData>
    <row r="1" spans="2:6" ht="20.25">
      <c r="B1" s="15" t="s">
        <v>575</v>
      </c>
      <c r="F1" s="16"/>
    </row>
    <row r="2" ht="12.75">
      <c r="B2" s="3" t="s">
        <v>0</v>
      </c>
    </row>
    <row r="3" ht="12.75">
      <c r="B3" t="s">
        <v>576</v>
      </c>
    </row>
    <row r="4" spans="1:2" ht="12.75">
      <c r="A4">
        <v>1</v>
      </c>
      <c r="B4" s="173" t="s">
        <v>545</v>
      </c>
    </row>
    <row r="5" spans="1:2" ht="12.75">
      <c r="A5">
        <v>2</v>
      </c>
      <c r="B5" t="s">
        <v>546</v>
      </c>
    </row>
    <row r="6" spans="1:2" ht="12.75">
      <c r="A6">
        <v>3</v>
      </c>
      <c r="B6" t="s">
        <v>547</v>
      </c>
    </row>
    <row r="7" spans="1:2" ht="12.75">
      <c r="A7">
        <v>4</v>
      </c>
      <c r="B7" t="s">
        <v>577</v>
      </c>
    </row>
    <row r="8" ht="12.75">
      <c r="B8" t="s">
        <v>578</v>
      </c>
    </row>
    <row r="9" ht="12.75">
      <c r="B9" t="s">
        <v>579</v>
      </c>
    </row>
    <row r="10" spans="1:2" ht="12.75">
      <c r="A10">
        <v>5</v>
      </c>
      <c r="B10" t="s">
        <v>548</v>
      </c>
    </row>
    <row r="11" spans="1:2" ht="12.75">
      <c r="A11">
        <v>6</v>
      </c>
      <c r="B11" t="s">
        <v>549</v>
      </c>
    </row>
    <row r="12" spans="1:2" ht="12.75">
      <c r="A12">
        <v>7</v>
      </c>
      <c r="B12" t="s">
        <v>573</v>
      </c>
    </row>
    <row r="13" ht="12.75">
      <c r="B13" t="s">
        <v>580</v>
      </c>
    </row>
    <row r="14" spans="1:2" ht="12.75">
      <c r="A14">
        <v>8</v>
      </c>
      <c r="B14" t="s">
        <v>550</v>
      </c>
    </row>
    <row r="15" spans="1:2" ht="12.75">
      <c r="A15">
        <v>9</v>
      </c>
      <c r="B15" t="s">
        <v>581</v>
      </c>
    </row>
    <row r="16" spans="1:2" ht="12.75">
      <c r="A16">
        <v>10</v>
      </c>
      <c r="B16" t="s">
        <v>553</v>
      </c>
    </row>
    <row r="17" spans="1:2" ht="12.75">
      <c r="A17">
        <v>11</v>
      </c>
      <c r="B17" t="s">
        <v>554</v>
      </c>
    </row>
    <row r="18" spans="1:2" ht="12.75">
      <c r="A18">
        <v>12</v>
      </c>
      <c r="B18" t="s">
        <v>555</v>
      </c>
    </row>
    <row r="19" spans="1:2" ht="12.75">
      <c r="A19">
        <v>13</v>
      </c>
      <c r="B19" t="s">
        <v>560</v>
      </c>
    </row>
    <row r="20" ht="12.75">
      <c r="B20" t="s">
        <v>559</v>
      </c>
    </row>
    <row r="21" ht="18.75">
      <c r="B21" s="214" t="s">
        <v>574</v>
      </c>
    </row>
    <row r="22" ht="12.75"/>
  </sheetData>
  <sheetProtection/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A3:L23"/>
  <sheetViews>
    <sheetView zoomScalePageLayoutView="0" workbookViewId="0" topLeftCell="A1">
      <selection activeCell="K23" sqref="K23"/>
    </sheetView>
  </sheetViews>
  <sheetFormatPr defaultColWidth="0" defaultRowHeight="12.75" zeroHeight="1"/>
  <cols>
    <col min="1" max="1" width="16.875" style="0" customWidth="1"/>
    <col min="2" max="2" width="11.25390625" style="0" customWidth="1"/>
    <col min="3" max="3" width="6.625" style="0" customWidth="1"/>
    <col min="4" max="4" width="7.00390625" style="0" customWidth="1"/>
    <col min="5" max="5" width="9.125" style="0" customWidth="1"/>
    <col min="6" max="6" width="9.625" style="0" customWidth="1"/>
    <col min="7" max="8" width="9.125" style="0" customWidth="1"/>
    <col min="9" max="9" width="12.75390625" style="0" customWidth="1"/>
    <col min="10" max="12" width="9.125" style="0" customWidth="1"/>
    <col min="13" max="16384" width="0" style="0" hidden="1" customWidth="1"/>
  </cols>
  <sheetData>
    <row r="1" s="46" customFormat="1" ht="12.75"/>
    <row r="2" s="46" customFormat="1" ht="12.75"/>
    <row r="3" spans="3:5" s="46" customFormat="1" ht="26.25">
      <c r="C3" s="47" t="s">
        <v>544</v>
      </c>
      <c r="D3" s="49"/>
      <c r="E3" s="49"/>
    </row>
    <row r="4" spans="5:6" s="46" customFormat="1" ht="26.25">
      <c r="E4"/>
      <c r="F4" s="48"/>
    </row>
    <row r="5" s="46" customFormat="1" ht="12.75"/>
    <row r="6" s="46" customFormat="1" ht="12.75"/>
    <row r="7" s="46" customFormat="1" ht="12.75"/>
    <row r="8" s="46" customFormat="1" ht="12.75"/>
    <row r="9" s="46" customFormat="1" ht="12.75"/>
    <row r="10" s="46" customFormat="1" ht="12.75"/>
    <row r="11" s="46" customFormat="1" ht="12.75">
      <c r="L11" s="224" t="s">
        <v>568</v>
      </c>
    </row>
    <row r="12" s="46" customFormat="1" ht="15">
      <c r="L12" s="236">
        <f>'Выбор Qвпу'!B25</f>
        <v>110</v>
      </c>
    </row>
    <row r="13" s="46" customFormat="1" ht="13.5" thickBot="1"/>
    <row r="14" spans="1:12" s="52" customFormat="1" ht="13.5" thickBot="1">
      <c r="A14" s="235" t="s">
        <v>562</v>
      </c>
      <c r="B14" s="232" t="e">
        <f>'А2-Н2-А1-Н1-М'!I6</f>
        <v>#NAME?</v>
      </c>
      <c r="C14" s="231"/>
      <c r="D14" s="232" t="e">
        <f>'А2-Н2-А1-Н1-М'!H6</f>
        <v>#NAME?</v>
      </c>
      <c r="E14" s="231"/>
      <c r="F14" s="232" t="e">
        <f>'А2-Н2-А1-Н1-М'!G6</f>
        <v>#NAME?</v>
      </c>
      <c r="G14" s="231"/>
      <c r="H14" s="231"/>
      <c r="I14" s="232" t="e">
        <f>'А2-Н2-А1-Н1-М'!F6</f>
        <v>#NAME?</v>
      </c>
      <c r="J14" s="231"/>
      <c r="K14" s="244"/>
      <c r="L14" s="224"/>
    </row>
    <row r="15" spans="1:12" s="52" customFormat="1" ht="13.5" thickBot="1">
      <c r="A15" s="235" t="s">
        <v>563</v>
      </c>
      <c r="B15" s="232" t="e">
        <f>'А2-Н2-А1-Н1-М'!I8</f>
        <v>#NAME?</v>
      </c>
      <c r="C15" s="231"/>
      <c r="D15" s="232" t="e">
        <f>'А2-Н2-А1-Н1-М'!H8</f>
        <v>#NAME?</v>
      </c>
      <c r="E15" s="231"/>
      <c r="F15" s="232" t="e">
        <f>'А2-Н2-А1-Н1-М'!G8</f>
        <v>#NAME?</v>
      </c>
      <c r="G15" s="231"/>
      <c r="H15" s="231"/>
      <c r="I15" s="232" t="e">
        <f>'А2-Н2-А1-Н1-М'!F8</f>
        <v>#NAME?</v>
      </c>
      <c r="J15" s="231"/>
      <c r="K15" s="244"/>
      <c r="L15" s="224"/>
    </row>
    <row r="16" spans="1:12" s="52" customFormat="1" ht="13.5" thickBot="1">
      <c r="A16" s="235" t="s">
        <v>564</v>
      </c>
      <c r="B16" s="233" t="e">
        <f>'А2-Н2-А1-Н1-М'!I7+1</f>
        <v>#NAME?</v>
      </c>
      <c r="C16" s="231"/>
      <c r="D16" s="233" t="e">
        <f>'А2-Н2-А1-Н1-М'!I7+1</f>
        <v>#NAME?</v>
      </c>
      <c r="E16" s="231"/>
      <c r="F16" s="233" t="e">
        <f>'А2-Н2-А1-Н1-М'!G7+1</f>
        <v>#NAME?</v>
      </c>
      <c r="G16" s="231"/>
      <c r="H16" s="231"/>
      <c r="I16" s="233" t="e">
        <f>'А2-Н2-А1-Н1-М'!F7+1</f>
        <v>#NAME?</v>
      </c>
      <c r="J16" s="231"/>
      <c r="K16" s="244"/>
      <c r="L16" s="224"/>
    </row>
    <row r="17" spans="1:12" s="52" customFormat="1" ht="16.5" thickBot="1">
      <c r="A17" s="235" t="s">
        <v>561</v>
      </c>
      <c r="B17" s="234" t="e">
        <f>'А2-Н2-А1-Н1-М'!I17</f>
        <v>#NAME?</v>
      </c>
      <c r="C17" s="231"/>
      <c r="D17" s="241"/>
      <c r="E17" s="231"/>
      <c r="F17" s="234" t="e">
        <f>'А2-Н2-А1-Н1-М'!G17</f>
        <v>#NAME?</v>
      </c>
      <c r="G17" s="231"/>
      <c r="H17" s="231"/>
      <c r="I17" s="243"/>
      <c r="J17" s="231"/>
      <c r="K17" s="239">
        <f>ФСД!C23</f>
        <v>9.24</v>
      </c>
      <c r="L17" s="224"/>
    </row>
    <row r="18" spans="1:12" s="52" customFormat="1" ht="16.5" thickBot="1">
      <c r="A18" s="235" t="s">
        <v>565</v>
      </c>
      <c r="B18" s="242"/>
      <c r="C18" s="231"/>
      <c r="D18" s="232" t="e">
        <f>'А2-Н2-А1-Н1-М'!H17</f>
        <v>#NAME?</v>
      </c>
      <c r="E18" s="231"/>
      <c r="F18" s="243"/>
      <c r="G18" s="231"/>
      <c r="H18" s="231"/>
      <c r="I18" s="234" t="e">
        <f>'А2-Н2-А1-Н1-М'!F17</f>
        <v>#NAME?</v>
      </c>
      <c r="J18" s="231"/>
      <c r="K18" s="239">
        <f>ФСД!C29</f>
        <v>13.2</v>
      </c>
      <c r="L18" s="224"/>
    </row>
    <row r="19" spans="1:12" s="52" customFormat="1" ht="15" thickBot="1">
      <c r="A19" s="235" t="s">
        <v>567</v>
      </c>
      <c r="B19" s="234" t="e">
        <f>'А2-Н2-А1-Н1-М'!I26</f>
        <v>#NAME?</v>
      </c>
      <c r="C19" s="230"/>
      <c r="D19" s="234" t="e">
        <f>'А2-Н2-А1-Н1-М'!H26</f>
        <v>#NAME?</v>
      </c>
      <c r="E19" s="230"/>
      <c r="F19" s="234" t="e">
        <f>'А2-Н2-А1-Н1-М'!G26</f>
        <v>#NAME?</v>
      </c>
      <c r="G19" s="230"/>
      <c r="H19" s="230"/>
      <c r="I19" s="234" t="e">
        <f>'А2-Н2-А1-Н1-М'!F26</f>
        <v>#NAME?</v>
      </c>
      <c r="J19" s="231"/>
      <c r="K19" s="240">
        <f>ФСД!C57</f>
        <v>0.22672222222222224</v>
      </c>
      <c r="L19" s="225"/>
    </row>
    <row r="20" spans="1:12" s="52" customFormat="1" ht="13.5" thickBot="1">
      <c r="A20" s="235" t="s">
        <v>569</v>
      </c>
      <c r="B20" s="234" t="e">
        <f>'А2-Н2-А1-Н1-М'!I14</f>
        <v>#NAME?</v>
      </c>
      <c r="C20" s="230"/>
      <c r="D20" s="234" t="e">
        <f>'А2-Н2-А1-Н1-М'!H14</f>
        <v>#NAME?</v>
      </c>
      <c r="E20" s="230"/>
      <c r="F20" s="234" t="e">
        <f>'А2-Н2-А1-Н1-М'!G14</f>
        <v>#NAME?</v>
      </c>
      <c r="G20" s="230"/>
      <c r="H20" s="230"/>
      <c r="I20" s="234" t="e">
        <f>'А2-Н2-А1-Н1-М'!F14</f>
        <v>#NAME?</v>
      </c>
      <c r="J20" s="231"/>
      <c r="K20" s="245"/>
      <c r="L20" s="225"/>
    </row>
    <row r="21" spans="1:12" s="52" customFormat="1" ht="12.75">
      <c r="A21" s="223"/>
      <c r="B21" s="224"/>
      <c r="C21" s="224"/>
      <c r="D21" s="222"/>
      <c r="E21" s="224"/>
      <c r="F21" s="224"/>
      <c r="G21" s="224"/>
      <c r="H21" s="224"/>
      <c r="I21" s="222"/>
      <c r="J21" s="224"/>
      <c r="K21" s="222"/>
      <c r="L21" s="225"/>
    </row>
    <row r="22" spans="1:12" s="52" customFormat="1" ht="12.75">
      <c r="A22" s="223"/>
      <c r="B22" s="224"/>
      <c r="C22" s="224"/>
      <c r="D22" s="224"/>
      <c r="E22" s="224"/>
      <c r="F22" s="224"/>
      <c r="G22" s="224"/>
      <c r="H22" s="224"/>
      <c r="I22" s="222"/>
      <c r="J22" s="224"/>
      <c r="K22" s="222"/>
      <c r="L22" s="225"/>
    </row>
    <row r="23" spans="1:12" s="52" customFormat="1" ht="13.5" thickBot="1">
      <c r="A23" s="226"/>
      <c r="B23" s="227"/>
      <c r="C23" s="227"/>
      <c r="D23" s="227"/>
      <c r="E23" s="227"/>
      <c r="F23" s="227"/>
      <c r="G23" s="227"/>
      <c r="H23" s="227"/>
      <c r="I23" s="228"/>
      <c r="J23" s="227"/>
      <c r="K23" s="227"/>
      <c r="L23" s="229"/>
    </row>
    <row r="24" s="52" customFormat="1" ht="12.75" hidden="1"/>
    <row r="25" s="50" customFormat="1" ht="12.75" hidden="1"/>
    <row r="26" s="50" customFormat="1" ht="12.75" hidden="1"/>
    <row r="27" s="51" customFormat="1" ht="12.75" hidden="1"/>
    <row r="28" s="51" customFormat="1" ht="12.75" hidden="1"/>
  </sheetData>
  <sheetProtection/>
  <printOptions gridLines="1"/>
  <pageMargins left="1.91" right="0.75" top="1.41" bottom="1" header="0.5" footer="0.5"/>
  <pageSetup horizontalDpi="240" verticalDpi="240" orientation="landscape" paperSize="9" scale="125" r:id="rId5"/>
  <headerFooter alignWithMargins="0">
    <oddHeader>&amp;C&amp;A</oddHeader>
    <oddFooter>&amp;CСтр. &amp;P</oddFooter>
  </headerFooter>
  <drawing r:id="rId4"/>
  <legacyDrawing r:id="rId3"/>
  <oleObjects>
    <oleObject progId="PBrush" shapeId="202446" r:id="rId1"/>
    <oleObject progId="PBrush" shapeId="204286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A3:G1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0" width="9.125" style="0" customWidth="1"/>
    <col min="11" max="16384" width="9.125" style="0" hidden="1" customWidth="1"/>
  </cols>
  <sheetData>
    <row r="1" ht="12.75"/>
    <row r="2" ht="12.75"/>
    <row r="3" spans="1:7" ht="12.75">
      <c r="A3">
        <v>0</v>
      </c>
      <c r="B3" s="12">
        <v>100</v>
      </c>
      <c r="C3" s="12">
        <v>128</v>
      </c>
      <c r="D3" s="12">
        <v>150</v>
      </c>
      <c r="E3" s="12">
        <v>170</v>
      </c>
      <c r="F3" s="12">
        <v>190</v>
      </c>
      <c r="G3" s="12">
        <v>210</v>
      </c>
    </row>
    <row r="4" spans="1:7" ht="12.75">
      <c r="A4">
        <v>0.1</v>
      </c>
      <c r="B4">
        <v>153</v>
      </c>
      <c r="C4">
        <v>175</v>
      </c>
      <c r="D4">
        <v>190</v>
      </c>
      <c r="E4">
        <v>210</v>
      </c>
      <c r="F4">
        <v>225</v>
      </c>
      <c r="G4">
        <v>240</v>
      </c>
    </row>
    <row r="5" spans="1:7" ht="12.75">
      <c r="A5">
        <v>0.2</v>
      </c>
      <c r="B5">
        <v>196</v>
      </c>
      <c r="C5">
        <v>210</v>
      </c>
      <c r="D5">
        <v>225</v>
      </c>
      <c r="E5">
        <v>240</v>
      </c>
      <c r="F5">
        <v>250</v>
      </c>
      <c r="G5">
        <v>265</v>
      </c>
    </row>
    <row r="6" spans="1:7" ht="12.75">
      <c r="A6">
        <v>0.3</v>
      </c>
      <c r="B6">
        <v>225</v>
      </c>
      <c r="C6">
        <v>240</v>
      </c>
      <c r="D6">
        <v>255</v>
      </c>
      <c r="E6">
        <v>265</v>
      </c>
      <c r="F6">
        <v>275</v>
      </c>
      <c r="G6">
        <v>288</v>
      </c>
    </row>
    <row r="7" spans="1:7" ht="12.75">
      <c r="A7">
        <v>0.4</v>
      </c>
      <c r="B7">
        <v>252</v>
      </c>
      <c r="C7">
        <v>265</v>
      </c>
      <c r="D7">
        <v>279</v>
      </c>
      <c r="E7">
        <v>290</v>
      </c>
      <c r="F7">
        <v>300</v>
      </c>
      <c r="G7">
        <v>310</v>
      </c>
    </row>
    <row r="8" spans="1:7" ht="12.75">
      <c r="A8">
        <v>0.5</v>
      </c>
      <c r="B8">
        <v>274</v>
      </c>
      <c r="C8">
        <v>290</v>
      </c>
      <c r="D8">
        <v>300</v>
      </c>
      <c r="E8">
        <v>310</v>
      </c>
      <c r="F8">
        <v>320</v>
      </c>
      <c r="G8">
        <v>330</v>
      </c>
    </row>
    <row r="9" spans="1:7" ht="12.75">
      <c r="A9">
        <v>0.6</v>
      </c>
      <c r="B9">
        <v>298</v>
      </c>
      <c r="C9">
        <v>311</v>
      </c>
      <c r="D9">
        <v>322</v>
      </c>
      <c r="E9">
        <v>330</v>
      </c>
      <c r="F9">
        <v>340</v>
      </c>
      <c r="G9">
        <v>350</v>
      </c>
    </row>
    <row r="10" spans="1:7" ht="12.75">
      <c r="A10">
        <v>0.7</v>
      </c>
      <c r="B10">
        <v>318</v>
      </c>
      <c r="C10">
        <v>330</v>
      </c>
      <c r="D10">
        <v>340</v>
      </c>
      <c r="E10">
        <v>350</v>
      </c>
      <c r="F10">
        <v>355</v>
      </c>
      <c r="G10">
        <v>365</v>
      </c>
    </row>
    <row r="11" spans="1:7" ht="12.75">
      <c r="A11">
        <v>0.8</v>
      </c>
      <c r="B11">
        <v>339</v>
      </c>
      <c r="C11">
        <v>349</v>
      </c>
      <c r="D11">
        <v>360</v>
      </c>
      <c r="E11">
        <v>365</v>
      </c>
      <c r="F11">
        <v>372</v>
      </c>
      <c r="G11">
        <v>380</v>
      </c>
    </row>
    <row r="12" spans="1:7" ht="12.75">
      <c r="A12">
        <v>0.9</v>
      </c>
      <c r="B12">
        <v>355</v>
      </c>
      <c r="C12">
        <v>363</v>
      </c>
      <c r="D12">
        <v>370</v>
      </c>
      <c r="E12">
        <v>375</v>
      </c>
      <c r="F12">
        <v>385</v>
      </c>
      <c r="G12">
        <v>390</v>
      </c>
    </row>
    <row r="13" spans="1:7" ht="12.75">
      <c r="A13">
        <v>1</v>
      </c>
      <c r="B13">
        <v>370</v>
      </c>
      <c r="C13">
        <v>375</v>
      </c>
      <c r="D13">
        <v>380</v>
      </c>
      <c r="E13">
        <v>390</v>
      </c>
      <c r="F13">
        <v>395</v>
      </c>
      <c r="G13">
        <v>400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2:I12"/>
  <sheetViews>
    <sheetView zoomScalePageLayoutView="0" workbookViewId="0" topLeftCell="A1">
      <selection activeCell="C13" sqref="C13"/>
    </sheetView>
  </sheetViews>
  <sheetFormatPr defaultColWidth="0" defaultRowHeight="12.75" zeroHeight="1"/>
  <cols>
    <col min="1" max="1" width="6.625" style="0" customWidth="1"/>
    <col min="2" max="2" width="9.125" style="0" customWidth="1"/>
    <col min="3" max="3" width="11.375" style="0" customWidth="1"/>
    <col min="4" max="4" width="7.875" style="0" customWidth="1"/>
    <col min="5" max="5" width="9.125" style="0" customWidth="1"/>
    <col min="6" max="6" width="6.625" style="0" customWidth="1"/>
    <col min="7" max="7" width="9.125" style="0" customWidth="1"/>
    <col min="8" max="8" width="11.375" style="0" customWidth="1"/>
    <col min="9" max="9" width="9.125" style="0" customWidth="1"/>
    <col min="10" max="16384" width="0" style="0" hidden="1" customWidth="1"/>
  </cols>
  <sheetData>
    <row r="1" ht="12.75"/>
    <row r="2" spans="1:6" ht="26.25">
      <c r="A2" s="20" t="s">
        <v>393</v>
      </c>
      <c r="E2" s="14"/>
      <c r="F2" s="14"/>
    </row>
    <row r="3" spans="1:9" ht="12.75">
      <c r="A3" s="12"/>
      <c r="B3" s="21" t="s">
        <v>394</v>
      </c>
      <c r="C3" s="22"/>
      <c r="D3" s="21"/>
      <c r="E3" s="22"/>
      <c r="F3" s="22"/>
      <c r="G3" s="21" t="s">
        <v>395</v>
      </c>
      <c r="H3" s="22"/>
      <c r="I3" s="12"/>
    </row>
    <row r="4" ht="13.5" thickBot="1"/>
    <row r="5" spans="1:9" s="6" customFormat="1" ht="13.5" thickBot="1">
      <c r="A5" s="25" t="s">
        <v>396</v>
      </c>
      <c r="B5" s="26" t="s">
        <v>397</v>
      </c>
      <c r="C5" s="26" t="s">
        <v>398</v>
      </c>
      <c r="D5" s="33" t="s">
        <v>399</v>
      </c>
      <c r="F5" s="27" t="s">
        <v>396</v>
      </c>
      <c r="G5" s="28" t="s">
        <v>397</v>
      </c>
      <c r="H5" s="28" t="s">
        <v>398</v>
      </c>
      <c r="I5" s="33" t="s">
        <v>399</v>
      </c>
    </row>
    <row r="6" spans="1:9" s="6" customFormat="1" ht="15" thickBot="1">
      <c r="A6" s="29"/>
      <c r="B6" s="24" t="s">
        <v>220</v>
      </c>
      <c r="C6" s="24" t="s">
        <v>220</v>
      </c>
      <c r="D6" s="34" t="s">
        <v>213</v>
      </c>
      <c r="F6" s="30"/>
      <c r="G6" s="23" t="s">
        <v>220</v>
      </c>
      <c r="H6" s="23" t="s">
        <v>220</v>
      </c>
      <c r="I6" s="34" t="s">
        <v>213</v>
      </c>
    </row>
    <row r="7" spans="1:9" s="6" customFormat="1" ht="12.75">
      <c r="A7" s="31">
        <v>1</v>
      </c>
      <c r="B7" s="218">
        <v>1</v>
      </c>
      <c r="C7" s="218">
        <v>2</v>
      </c>
      <c r="D7" s="35">
        <f>(PI()*B7^2/4+PI()*B8^2/4)/2</f>
        <v>1.2762720155208536</v>
      </c>
      <c r="F7" s="32">
        <v>1</v>
      </c>
      <c r="G7" s="220">
        <v>1</v>
      </c>
      <c r="H7" s="220">
        <v>1.5</v>
      </c>
      <c r="I7" s="35">
        <f>(PI()*G7^2/4+PI()*G8^2/4)/2</f>
        <v>1.2762720155208536</v>
      </c>
    </row>
    <row r="8" spans="1:9" s="6" customFormat="1" ht="12.75">
      <c r="A8" s="31">
        <v>2</v>
      </c>
      <c r="B8" s="218">
        <v>1.5</v>
      </c>
      <c r="C8" s="218">
        <v>2.2</v>
      </c>
      <c r="D8" s="35">
        <f>(PI()*B8^2/4+PI()*B9^2/4)/2</f>
        <v>2.454369260617026</v>
      </c>
      <c r="F8" s="32">
        <v>2</v>
      </c>
      <c r="G8" s="220">
        <v>1.5</v>
      </c>
      <c r="H8" s="220">
        <v>1.5</v>
      </c>
      <c r="I8" s="35">
        <f>(PI()*G8^2/4+PI()*G9^2/4)/2</f>
        <v>2.454369260617026</v>
      </c>
    </row>
    <row r="9" spans="1:9" s="6" customFormat="1" ht="12.75">
      <c r="A9" s="31">
        <v>3</v>
      </c>
      <c r="B9" s="218">
        <v>2</v>
      </c>
      <c r="C9" s="218">
        <v>2.5</v>
      </c>
      <c r="D9" s="35">
        <f>(PI()*B9^2/4+PI()*B10^2/4)/2</f>
        <v>4.225442119078272</v>
      </c>
      <c r="F9" s="32">
        <v>3</v>
      </c>
      <c r="G9" s="220">
        <v>2</v>
      </c>
      <c r="H9" s="220">
        <v>1.5</v>
      </c>
      <c r="I9" s="35">
        <f>(PI()*G9^2/4+PI()*G10^2/4)/2</f>
        <v>4.225442119078272</v>
      </c>
    </row>
    <row r="10" spans="1:9" s="6" customFormat="1" ht="12.75">
      <c r="A10" s="31">
        <v>4</v>
      </c>
      <c r="B10" s="218">
        <v>2.6</v>
      </c>
      <c r="C10" s="218">
        <v>2.5</v>
      </c>
      <c r="D10" s="35">
        <f>(PI()*B10^2/4+PI()*B11^2/4)/2</f>
        <v>6.188937527571893</v>
      </c>
      <c r="F10" s="32">
        <v>4</v>
      </c>
      <c r="G10" s="220">
        <v>2.6</v>
      </c>
      <c r="H10" s="220">
        <v>1.5</v>
      </c>
      <c r="I10" s="35">
        <f>(PI()*G10^2/4+PI()*G11^2/4)/2</f>
        <v>6.188937527571893</v>
      </c>
    </row>
    <row r="11" spans="1:9" s="6" customFormat="1" ht="13.5" thickBot="1">
      <c r="A11" s="31">
        <v>5</v>
      </c>
      <c r="B11" s="218">
        <v>3</v>
      </c>
      <c r="C11" s="218">
        <v>2.5</v>
      </c>
      <c r="D11" s="35">
        <f>(PI()*B11^2/4+PI()*B12^2/4)/2</f>
        <v>8.073893119725767</v>
      </c>
      <c r="F11" s="30">
        <v>5</v>
      </c>
      <c r="G11" s="221">
        <v>3</v>
      </c>
      <c r="H11" s="221">
        <v>1.5</v>
      </c>
      <c r="I11" s="36">
        <f>PI()*G11^2/4+(I10-I9)/2</f>
        <v>8.050331174823846</v>
      </c>
    </row>
    <row r="12" spans="1:4" s="6" customFormat="1" ht="13.5" thickBot="1">
      <c r="A12" s="29">
        <v>6</v>
      </c>
      <c r="B12" s="219">
        <v>3.4</v>
      </c>
      <c r="C12" s="219">
        <v>2.5</v>
      </c>
      <c r="D12" s="36">
        <f>PI()*B12^2/4+(D11-D10)/2</f>
        <v>10.021680564951438</v>
      </c>
    </row>
    <row r="13" s="6" customFormat="1" ht="12.75"/>
  </sheetData>
  <sheetProtection/>
  <printOptions/>
  <pageMargins left="2.362204724409449" right="0.7874015748031497" top="2.6" bottom="0.984251968503937" header="0.5118110236220472" footer="0.5118110236220472"/>
  <pageSetup horizontalDpi="360" verticalDpi="360" orientation="landscape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:I63"/>
  <sheetViews>
    <sheetView zoomScalePageLayoutView="0" workbookViewId="0" topLeftCell="A1">
      <selection activeCell="A1" sqref="A1"/>
    </sheetView>
  </sheetViews>
  <sheetFormatPr defaultColWidth="0" defaultRowHeight="12.75"/>
  <cols>
    <col min="1" max="9" width="9.125" style="0" customWidth="1"/>
    <col min="10" max="16384" width="0" style="0" hidden="1" customWidth="1"/>
  </cols>
  <sheetData>
    <row r="1" ht="18">
      <c r="A1" s="214" t="s">
        <v>400</v>
      </c>
    </row>
    <row r="2" ht="12.75">
      <c r="A2" s="8" t="s">
        <v>401</v>
      </c>
    </row>
    <row r="3" spans="2:5" ht="12.75">
      <c r="B3" s="3" t="s">
        <v>402</v>
      </c>
      <c r="E3" t="s">
        <v>231</v>
      </c>
    </row>
    <row r="4" ht="12.75">
      <c r="C4" s="2" t="e">
        <f>'А2-Н2-А1-Н1-М'!G17+'А2-Н2-А1-Н1-М'!I17</f>
        <v>#NAME?</v>
      </c>
    </row>
    <row r="5" spans="1:7" ht="14.25">
      <c r="A5" t="s">
        <v>403</v>
      </c>
      <c r="G5" t="s">
        <v>245</v>
      </c>
    </row>
    <row r="6" spans="1:5" ht="12.75">
      <c r="A6" t="s">
        <v>404</v>
      </c>
      <c r="C6" t="s">
        <v>405</v>
      </c>
      <c r="E6" s="217">
        <v>1.824</v>
      </c>
    </row>
    <row r="7" spans="1:5" ht="12.75">
      <c r="A7" t="s">
        <v>406</v>
      </c>
      <c r="C7" t="s">
        <v>364</v>
      </c>
      <c r="E7" s="217">
        <v>92</v>
      </c>
    </row>
    <row r="8" spans="1:5" ht="12.75">
      <c r="A8" t="s">
        <v>407</v>
      </c>
      <c r="E8" s="217">
        <v>1.25</v>
      </c>
    </row>
    <row r="9" ht="12.75">
      <c r="A9" t="s">
        <v>408</v>
      </c>
    </row>
    <row r="10" ht="12.75">
      <c r="C10" s="1" t="e">
        <f>E8*C4*100/(E7*E6*1000)</f>
        <v>#NAME?</v>
      </c>
    </row>
    <row r="11" spans="1:9" ht="12.75">
      <c r="A11" t="s">
        <v>409</v>
      </c>
      <c r="I11" t="s">
        <v>360</v>
      </c>
    </row>
    <row r="12" spans="1:7" ht="14.25">
      <c r="A12" t="s">
        <v>410</v>
      </c>
      <c r="G12" t="s">
        <v>245</v>
      </c>
    </row>
    <row r="13" ht="12.75">
      <c r="C13" t="e">
        <f>C4*30/(E6*E7*10)</f>
        <v>#NAME?</v>
      </c>
    </row>
    <row r="14" ht="12.75">
      <c r="A14" t="s">
        <v>411</v>
      </c>
    </row>
    <row r="15" spans="1:4" ht="12.75">
      <c r="A15" t="s">
        <v>412</v>
      </c>
      <c r="D15" t="s">
        <v>231</v>
      </c>
    </row>
    <row r="16" ht="12.75">
      <c r="C16" t="e">
        <f>'А2-Н2-А1-Н1-М'!F17+'А2-Н2-А1-Н1-М'!H17</f>
        <v>#NAME?</v>
      </c>
    </row>
    <row r="17" spans="1:8" ht="14.25">
      <c r="A17" t="s">
        <v>413</v>
      </c>
      <c r="H17" t="s">
        <v>245</v>
      </c>
    </row>
    <row r="18" ht="12.75">
      <c r="A18" t="s">
        <v>414</v>
      </c>
    </row>
    <row r="19" spans="1:5" ht="12.75">
      <c r="A19" t="s">
        <v>406</v>
      </c>
      <c r="E19" s="217">
        <v>42</v>
      </c>
    </row>
    <row r="20" spans="1:5" ht="12.75">
      <c r="A20" t="s">
        <v>404</v>
      </c>
      <c r="E20" s="217">
        <v>1.45</v>
      </c>
    </row>
    <row r="21" ht="12.75">
      <c r="C21" s="1" t="e">
        <f>1.25*C16*100/(E19*E20*1000)</f>
        <v>#NAME?</v>
      </c>
    </row>
    <row r="22" spans="1:9" ht="14.25">
      <c r="A22" t="s">
        <v>415</v>
      </c>
      <c r="I22" t="s">
        <v>245</v>
      </c>
    </row>
    <row r="23" spans="1:7" ht="14.25">
      <c r="A23" t="s">
        <v>416</v>
      </c>
      <c r="F23" t="s">
        <v>417</v>
      </c>
      <c r="G23" t="s">
        <v>245</v>
      </c>
    </row>
    <row r="24" ht="12.75">
      <c r="C24" t="e">
        <f>C16*30/(E19*E20*10)</f>
        <v>#NAME?</v>
      </c>
    </row>
    <row r="25" ht="12.75">
      <c r="A25" t="s">
        <v>418</v>
      </c>
    </row>
    <row r="26" spans="1:2" ht="12.75">
      <c r="A26" s="3" t="s">
        <v>419</v>
      </c>
      <c r="B26" t="s">
        <v>231</v>
      </c>
    </row>
    <row r="27" ht="12.75">
      <c r="A27" t="s">
        <v>420</v>
      </c>
    </row>
    <row r="28" ht="12.75">
      <c r="C28" t="e">
        <f>(('А2-Н2-А1-Н1-М'!G8*'А2-Н2-А1-Н1-М'!G9*'А2-Н2-А1-Н1-М'!G13*'А2-Н2-А1-Н1-М'!G15)+('А2-Н2-А1-Н1-М'!I8*'А2-Н2-А1-Н1-М'!I9*'А2-Н2-А1-Н1-М'!I13*'А2-Н2-А1-Н1-М'!I15))*49/1000</f>
        <v>#NAME?</v>
      </c>
    </row>
    <row r="29" ht="12.75">
      <c r="A29" t="s">
        <v>421</v>
      </c>
    </row>
    <row r="30" spans="1:2" ht="12.75">
      <c r="A30" t="s">
        <v>422</v>
      </c>
      <c r="B30" t="s">
        <v>231</v>
      </c>
    </row>
    <row r="31" ht="12.75">
      <c r="A31" t="s">
        <v>423</v>
      </c>
    </row>
    <row r="32" ht="12.75">
      <c r="C32" t="e">
        <f>(('А2-Н2-А1-Н1-М'!F8*'А2-Н2-А1-Н1-М'!F9*'А2-Н2-А1-Н1-М'!F13*'А2-Н2-А1-Н1-М'!F15)+('А2-Н2-А1-Н1-М'!H8*'А2-Н2-А1-Н1-М'!H9*'А2-Н2-А1-Н1-М'!H13*'А2-Н2-А1-Н1-М'!H15))*40/1000</f>
        <v>#NAME?</v>
      </c>
    </row>
    <row r="33" ht="12.75">
      <c r="A33" t="s">
        <v>424</v>
      </c>
    </row>
    <row r="34" spans="1:6" ht="12.75">
      <c r="A34" t="s">
        <v>425</v>
      </c>
      <c r="F34" t="s">
        <v>426</v>
      </c>
    </row>
    <row r="35" ht="12.75">
      <c r="C35" s="1" t="e">
        <f>(C4-C28)/49</f>
        <v>#NAME?</v>
      </c>
    </row>
    <row r="36" ht="12.75">
      <c r="A36" t="s">
        <v>427</v>
      </c>
    </row>
    <row r="37" ht="12.75">
      <c r="A37" t="s">
        <v>428</v>
      </c>
    </row>
    <row r="38" ht="12.75">
      <c r="A38" t="s">
        <v>429</v>
      </c>
    </row>
    <row r="39" ht="12.75">
      <c r="C39" s="1" t="e">
        <f>C4/C28</f>
        <v>#NAME?</v>
      </c>
    </row>
    <row r="40" ht="12.75">
      <c r="A40" t="s">
        <v>430</v>
      </c>
    </row>
    <row r="41" ht="12.75">
      <c r="A41" t="s">
        <v>431</v>
      </c>
    </row>
    <row r="42" ht="12.75">
      <c r="C42" s="1" t="e">
        <f>(C16-C32)/40</f>
        <v>#NAME?</v>
      </c>
    </row>
    <row r="43" ht="12.75">
      <c r="A43" t="s">
        <v>432</v>
      </c>
    </row>
    <row r="44" ht="12.75">
      <c r="A44" t="s">
        <v>428</v>
      </c>
    </row>
    <row r="45" ht="12.75">
      <c r="A45" t="s">
        <v>433</v>
      </c>
    </row>
    <row r="46" ht="12.75">
      <c r="C46" s="1" t="e">
        <f>C16/C32</f>
        <v>#NAME?</v>
      </c>
    </row>
    <row r="47" ht="12.75">
      <c r="A47" t="s">
        <v>434</v>
      </c>
    </row>
    <row r="48" spans="1:9" ht="12.75">
      <c r="A48" t="s">
        <v>435</v>
      </c>
      <c r="I48" t="s">
        <v>166</v>
      </c>
    </row>
    <row r="49" spans="1:5" ht="14.25">
      <c r="A49" t="s">
        <v>436</v>
      </c>
      <c r="E49" t="s">
        <v>245</v>
      </c>
    </row>
    <row r="50" ht="12.75">
      <c r="C50" s="1" t="e">
        <f>('А2-Н2-А1-Н1-М'!F22+'А2-Н2-А1-Н1-М'!F24)*'А2-Н2-А1-Н1-М'!F15+('А2-Н2-А1-Н1-М'!G22+'А2-Н2-А1-Н1-М'!G24)*'А2-Н2-А1-Н1-М'!G15+('А2-Н2-А1-Н1-М'!H22+'А2-Н2-А1-Н1-М'!H24)*'А2-Н2-А1-Н1-М'!H15+('А2-Н2-А1-Н1-М'!I22+'А2-Н2-А1-Н1-М'!I24)*'А2-Н2-А1-Н1-М'!I15+(('Нейтрализация стоков'!C42-'Нейтрализация стоков'!C35)*49*100)/(1*1000)</f>
        <v>#NAME?</v>
      </c>
    </row>
    <row r="51" spans="1:5" ht="12.75">
      <c r="A51" t="s">
        <v>437</v>
      </c>
      <c r="E51" t="s">
        <v>426</v>
      </c>
    </row>
    <row r="52" ht="12.75">
      <c r="A52" t="s">
        <v>438</v>
      </c>
    </row>
    <row r="53" ht="12.75">
      <c r="C53" t="e">
        <f>1000*'А2-Н2-А1-Н1-М'!F16/(40*('А2-Н2-А1-Н1-М'!F9*'А2-Н2-А1-Н1-М'!F8*'А2-Н2-А1-Н1-М'!F13))</f>
        <v>#NAME?</v>
      </c>
    </row>
    <row r="54" spans="1:8" ht="12.75">
      <c r="A54" t="s">
        <v>439</v>
      </c>
      <c r="H54" t="s">
        <v>231</v>
      </c>
    </row>
    <row r="55" ht="12.75">
      <c r="A55" t="s">
        <v>440</v>
      </c>
    </row>
    <row r="56" ht="12.75">
      <c r="C56" s="1" t="e">
        <f>'А2-Н2-А1-Н1-М'!F15*('А2-Н2-А1-Н1-М'!F16-('А2-Н2-А1-Н1-М'!F16/'Нейтрализация стоков'!C53))</f>
        <v>#NAME?</v>
      </c>
    </row>
    <row r="57" spans="1:9" ht="12.75">
      <c r="A57" t="s">
        <v>441</v>
      </c>
      <c r="I57" t="s">
        <v>231</v>
      </c>
    </row>
    <row r="58" ht="12.75">
      <c r="A58" t="s">
        <v>442</v>
      </c>
    </row>
    <row r="59" ht="12.75">
      <c r="C59" s="1" t="e">
        <f>C56/'А2-Н2-А1-Н1-М'!H15</f>
        <v>#NAME?</v>
      </c>
    </row>
    <row r="60" ht="12.75">
      <c r="A60" t="s">
        <v>443</v>
      </c>
    </row>
    <row r="61" ht="12.75">
      <c r="A61" t="s">
        <v>444</v>
      </c>
    </row>
    <row r="62" spans="1:5" ht="12.75">
      <c r="A62" t="s">
        <v>445</v>
      </c>
      <c r="E62" t="s">
        <v>446</v>
      </c>
    </row>
    <row r="63" ht="12.75">
      <c r="C63" s="1" t="e">
        <f>'А2-Н2-А1-Н1-М'!H16-'Нейтрализация стоков'!C59</f>
        <v>#NAME?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/>
  <dimension ref="A3:D35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6" sqref="D36"/>
    </sheetView>
  </sheetViews>
  <sheetFormatPr defaultColWidth="0" defaultRowHeight="12.75" zeroHeight="1"/>
  <cols>
    <col min="1" max="1" width="44.875" style="6" customWidth="1"/>
    <col min="2" max="2" width="23.125" style="6" customWidth="1"/>
    <col min="3" max="3" width="12.625" style="6" customWidth="1"/>
    <col min="4" max="4" width="11.875" style="6" customWidth="1"/>
    <col min="5" max="16384" width="0" style="6" hidden="1" customWidth="1"/>
  </cols>
  <sheetData>
    <row r="1" ht="12.75"/>
    <row r="2" ht="12.75"/>
    <row r="3" spans="1:4" ht="12.75">
      <c r="A3" s="6" t="s">
        <v>308</v>
      </c>
      <c r="B3" s="6" t="s">
        <v>310</v>
      </c>
      <c r="C3" s="6" t="s">
        <v>447</v>
      </c>
      <c r="D3" s="6" t="s">
        <v>448</v>
      </c>
    </row>
    <row r="4" spans="1:4" ht="12.75">
      <c r="A4" s="6" t="s">
        <v>314</v>
      </c>
      <c r="B4" s="6" t="s">
        <v>449</v>
      </c>
      <c r="C4" s="215">
        <v>414</v>
      </c>
      <c r="D4" s="101">
        <f>C4+C29</f>
        <v>435.86629714285715</v>
      </c>
    </row>
    <row r="5" spans="1:4" ht="12.75">
      <c r="A5" s="6" t="s">
        <v>450</v>
      </c>
      <c r="B5" s="6" t="s">
        <v>208</v>
      </c>
      <c r="C5" s="215">
        <v>20</v>
      </c>
      <c r="D5" s="216">
        <v>10</v>
      </c>
    </row>
    <row r="6" spans="1:4" ht="12.75">
      <c r="A6" s="6" t="s">
        <v>451</v>
      </c>
      <c r="B6" s="6" t="s">
        <v>452</v>
      </c>
      <c r="C6" s="6">
        <f>C4/C5</f>
        <v>20.7</v>
      </c>
      <c r="D6" s="101">
        <f>D4/D5</f>
        <v>43.58662971428571</v>
      </c>
    </row>
    <row r="7" spans="1:4" ht="12.75">
      <c r="A7" s="6" t="s">
        <v>453</v>
      </c>
      <c r="B7" s="6" t="s">
        <v>454</v>
      </c>
      <c r="C7" s="216">
        <v>4</v>
      </c>
      <c r="D7" s="216">
        <v>3</v>
      </c>
    </row>
    <row r="8" spans="1:4" ht="12.75">
      <c r="A8" s="6" t="s">
        <v>455</v>
      </c>
      <c r="B8" s="6" t="s">
        <v>456</v>
      </c>
      <c r="C8" s="6">
        <f>C6/C7</f>
        <v>5.175</v>
      </c>
      <c r="D8" s="101">
        <f>D6/D7</f>
        <v>14.52887657142857</v>
      </c>
    </row>
    <row r="9" spans="1:4" ht="12.75">
      <c r="A9" s="6" t="s">
        <v>457</v>
      </c>
      <c r="B9" s="6" t="s">
        <v>458</v>
      </c>
      <c r="C9" s="6" t="s">
        <v>459</v>
      </c>
      <c r="D9" s="6" t="s">
        <v>460</v>
      </c>
    </row>
    <row r="10" spans="2:4" ht="12.75">
      <c r="B10" s="6" t="s">
        <v>323</v>
      </c>
      <c r="C10" s="216">
        <v>2.6</v>
      </c>
      <c r="D10" s="216">
        <v>3.4</v>
      </c>
    </row>
    <row r="11" spans="2:4" ht="12.75">
      <c r="B11" s="6" t="s">
        <v>218</v>
      </c>
      <c r="C11" s="101">
        <f>PI()*C10^2/4</f>
        <v>5.3092915845667505</v>
      </c>
      <c r="D11" s="101">
        <f>PI()*D10^2/4*2</f>
        <v>18.158405537749</v>
      </c>
    </row>
    <row r="12" spans="1:4" ht="12.75">
      <c r="A12" s="6" t="s">
        <v>461</v>
      </c>
      <c r="B12" s="6" t="s">
        <v>462</v>
      </c>
      <c r="C12" s="101">
        <f>C4/(C11*C7)</f>
        <v>19.49412616569369</v>
      </c>
      <c r="D12" s="101">
        <f>D4/(D11*D7)</f>
        <v>8.00118520385774</v>
      </c>
    </row>
    <row r="13" spans="1:4" ht="12.75">
      <c r="A13" s="6" t="s">
        <v>463</v>
      </c>
      <c r="C13" s="6" t="s">
        <v>464</v>
      </c>
      <c r="D13" s="6" t="s">
        <v>465</v>
      </c>
    </row>
    <row r="14" spans="1:4" ht="12.75">
      <c r="A14" s="6" t="s">
        <v>466</v>
      </c>
      <c r="B14" s="6" t="s">
        <v>467</v>
      </c>
      <c r="C14" s="216">
        <v>350</v>
      </c>
      <c r="D14" s="216">
        <v>2</v>
      </c>
    </row>
    <row r="15" spans="1:4" ht="12.75">
      <c r="A15" s="6" t="s">
        <v>468</v>
      </c>
      <c r="B15" s="6" t="s">
        <v>219</v>
      </c>
      <c r="C15" s="216">
        <v>2.5</v>
      </c>
      <c r="D15" s="216">
        <v>0.9</v>
      </c>
    </row>
    <row r="16" spans="1:4" ht="12.75">
      <c r="A16" s="6" t="s">
        <v>469</v>
      </c>
      <c r="B16" s="6" t="s">
        <v>470</v>
      </c>
      <c r="C16" s="101">
        <f>C11*C15*C14*C7/(C4*2.34)</f>
        <v>19.181758687377293</v>
      </c>
      <c r="D16" s="101">
        <f>D11*D15*D14*D7/(D4*0.001)</f>
        <v>224.96667107919677</v>
      </c>
    </row>
    <row r="17" spans="1:4" ht="12.75">
      <c r="A17" s="6" t="s">
        <v>344</v>
      </c>
      <c r="B17" s="6" t="s">
        <v>471</v>
      </c>
      <c r="C17" s="101">
        <f>24*C7/C16</f>
        <v>5.004754859270206</v>
      </c>
      <c r="D17" s="101">
        <f>24*D7/D16</f>
        <v>0.3200474081543096</v>
      </c>
    </row>
    <row r="18" spans="1:4" ht="12.75">
      <c r="A18" s="6" t="s">
        <v>472</v>
      </c>
      <c r="B18" s="6" t="s">
        <v>473</v>
      </c>
      <c r="C18" s="216">
        <v>60</v>
      </c>
      <c r="D18" s="6" t="s">
        <v>186</v>
      </c>
    </row>
    <row r="19" spans="1:4" ht="12.75">
      <c r="A19" s="6" t="s">
        <v>474</v>
      </c>
      <c r="B19" s="6" t="s">
        <v>475</v>
      </c>
      <c r="C19" s="126">
        <f>C11*C15*C18</f>
        <v>796.3937376850126</v>
      </c>
      <c r="D19" s="6" t="s">
        <v>186</v>
      </c>
    </row>
    <row r="20" spans="1:4" ht="12.75">
      <c r="A20" s="6" t="s">
        <v>476</v>
      </c>
      <c r="B20" s="6" t="s">
        <v>477</v>
      </c>
      <c r="C20" s="126">
        <f>C19*C17</f>
        <v>3985.755428571429</v>
      </c>
      <c r="D20" s="6" t="s">
        <v>186</v>
      </c>
    </row>
    <row r="21" spans="1:4" ht="12.75">
      <c r="A21" s="6" t="s">
        <v>478</v>
      </c>
      <c r="B21" s="6" t="s">
        <v>356</v>
      </c>
      <c r="C21" s="216">
        <v>4.5</v>
      </c>
      <c r="D21" s="216">
        <v>12</v>
      </c>
    </row>
    <row r="22" spans="1:4" ht="12.75">
      <c r="A22" s="6" t="s">
        <v>479</v>
      </c>
      <c r="B22" s="6" t="s">
        <v>358</v>
      </c>
      <c r="C22" s="216">
        <v>25</v>
      </c>
      <c r="D22" s="216">
        <v>15</v>
      </c>
    </row>
    <row r="23" spans="1:4" ht="12.75">
      <c r="A23" s="6" t="s">
        <v>480</v>
      </c>
      <c r="B23" s="6" t="s">
        <v>481</v>
      </c>
      <c r="C23" s="101">
        <f>C11*C21*C22*60/1000</f>
        <v>35.837718195825566</v>
      </c>
      <c r="D23" s="126">
        <f>D11*D21*D22*60/1000</f>
        <v>196.1107798076892</v>
      </c>
    </row>
    <row r="24" spans="1:4" ht="12.75">
      <c r="A24" s="6" t="s">
        <v>482</v>
      </c>
      <c r="B24" s="6" t="s">
        <v>483</v>
      </c>
      <c r="C24" s="216">
        <v>5</v>
      </c>
      <c r="D24" s="6" t="s">
        <v>186</v>
      </c>
    </row>
    <row r="25" spans="1:4" ht="12.75">
      <c r="A25" s="6" t="s">
        <v>484</v>
      </c>
      <c r="B25" s="6" t="s">
        <v>485</v>
      </c>
      <c r="C25" s="101">
        <f>C19*100/(C24*1000)</f>
        <v>15.927874753700252</v>
      </c>
      <c r="D25" s="6" t="s">
        <v>186</v>
      </c>
    </row>
    <row r="26" spans="1:4" ht="12.75">
      <c r="A26" s="6" t="s">
        <v>486</v>
      </c>
      <c r="B26" s="6" t="s">
        <v>487</v>
      </c>
      <c r="C26" s="216">
        <v>4</v>
      </c>
      <c r="D26" s="216">
        <v>1</v>
      </c>
    </row>
    <row r="27" spans="1:4" ht="12.75">
      <c r="A27" s="6" t="s">
        <v>372</v>
      </c>
      <c r="B27" s="6" t="s">
        <v>488</v>
      </c>
      <c r="C27" s="101">
        <f>C11*C15*C26</f>
        <v>53.092915845667505</v>
      </c>
      <c r="D27" s="101">
        <f>D11*D15*D26</f>
        <v>16.3425649839741</v>
      </c>
    </row>
    <row r="28" spans="1:4" ht="12.75">
      <c r="A28" s="6" t="s">
        <v>489</v>
      </c>
      <c r="B28" s="6" t="s">
        <v>490</v>
      </c>
      <c r="C28" s="101">
        <f>C23+C25+C27</f>
        <v>104.85850879519333</v>
      </c>
      <c r="D28" s="101">
        <f>D23+D27</f>
        <v>212.4533447916633</v>
      </c>
    </row>
    <row r="29" spans="1:4" ht="12.75">
      <c r="A29" s="6" t="s">
        <v>377</v>
      </c>
      <c r="B29" s="6" t="s">
        <v>491</v>
      </c>
      <c r="C29" s="101">
        <f>C28*C17/24</f>
        <v>21.866297142857146</v>
      </c>
      <c r="D29" s="101">
        <f>D28*D17/24</f>
        <v>2.833130931428572</v>
      </c>
    </row>
    <row r="30" spans="1:4" ht="12.75">
      <c r="A30" s="6" t="s">
        <v>492</v>
      </c>
      <c r="B30" s="6" t="s">
        <v>493</v>
      </c>
      <c r="C30" s="216">
        <v>5</v>
      </c>
      <c r="D30" s="6" t="s">
        <v>186</v>
      </c>
    </row>
    <row r="31" spans="1:4" ht="12.75">
      <c r="A31" s="6" t="s">
        <v>494</v>
      </c>
      <c r="B31" s="6" t="s">
        <v>495</v>
      </c>
      <c r="C31" s="101">
        <f>C25*60/(C11*C30)</f>
        <v>36</v>
      </c>
      <c r="D31" s="6" t="s">
        <v>186</v>
      </c>
    </row>
    <row r="32" spans="1:4" ht="12.75">
      <c r="A32" s="137" t="s">
        <v>496</v>
      </c>
      <c r="B32" s="6" t="s">
        <v>386</v>
      </c>
      <c r="C32" s="216">
        <v>7</v>
      </c>
      <c r="D32" s="216">
        <v>8</v>
      </c>
    </row>
    <row r="33" spans="1:4" ht="12.75">
      <c r="A33" s="6" t="s">
        <v>497</v>
      </c>
      <c r="B33" s="6" t="s">
        <v>498</v>
      </c>
      <c r="C33" s="101">
        <f>C27*60/(C11*C32)</f>
        <v>85.71428571428572</v>
      </c>
      <c r="D33" s="6">
        <f>D27*60/(D11*D32)</f>
        <v>6.749999999999999</v>
      </c>
    </row>
    <row r="34" spans="1:4" ht="12.75">
      <c r="A34" s="6" t="s">
        <v>499</v>
      </c>
      <c r="B34" s="6" t="s">
        <v>500</v>
      </c>
      <c r="C34" s="101">
        <f>C22+C31+C33</f>
        <v>146.71428571428572</v>
      </c>
      <c r="D34" s="6">
        <f>D22+D33</f>
        <v>21.75</v>
      </c>
    </row>
    <row r="35" spans="1:4" ht="12.75">
      <c r="A35" s="6" t="s">
        <v>501</v>
      </c>
      <c r="B35" s="6" t="s">
        <v>502</v>
      </c>
      <c r="C35" s="101">
        <f>C16-C34/60</f>
        <v>16.736520592139197</v>
      </c>
      <c r="D35" s="101">
        <f>D16-D34/60</f>
        <v>224.60417107919676</v>
      </c>
    </row>
    <row r="36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/>
  <dimension ref="A1:F35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125" style="10" customWidth="1"/>
    <col min="2" max="2" width="10.00390625" style="10" customWidth="1"/>
    <col min="3" max="6" width="9.125" style="10" customWidth="1"/>
    <col min="7" max="7" width="14.625" style="10" customWidth="1"/>
    <col min="8" max="16384" width="0" style="10" hidden="1" customWidth="1"/>
  </cols>
  <sheetData>
    <row r="1" spans="1:2" s="128" customFormat="1" ht="20.25">
      <c r="A1" s="214" t="s">
        <v>503</v>
      </c>
      <c r="B1"/>
    </row>
    <row r="2" spans="1:6" ht="15">
      <c r="A2" s="10" t="s">
        <v>504</v>
      </c>
      <c r="F2" s="10" t="s">
        <v>505</v>
      </c>
    </row>
    <row r="3" ht="15">
      <c r="A3" s="10" t="s">
        <v>506</v>
      </c>
    </row>
    <row r="4" ht="15">
      <c r="B4" s="10">
        <f>44*'Кач.воды по ступ.'!E15+22*'Кач.воды по ступ.'!E15</f>
        <v>1.0650887883381912</v>
      </c>
    </row>
    <row r="5" ht="15">
      <c r="A5" s="10" t="s">
        <v>507</v>
      </c>
    </row>
    <row r="6" ht="15">
      <c r="A6" s="10" t="s">
        <v>508</v>
      </c>
    </row>
    <row r="7" ht="15">
      <c r="B7" s="127" t="e">
        <f>'А2-Н2-А1-Н1-М'!G3*('Кач.воды по ступ.'!H14-'Кач.воды по ступ.'!K14)/1000</f>
        <v>#NAME?</v>
      </c>
    </row>
    <row r="8" ht="15">
      <c r="A8" s="10" t="s">
        <v>509</v>
      </c>
    </row>
    <row r="9" ht="15">
      <c r="A9" s="10" t="s">
        <v>510</v>
      </c>
    </row>
    <row r="10" spans="1:6" ht="18">
      <c r="A10" s="10" t="s">
        <v>511</v>
      </c>
      <c r="C10" s="213">
        <v>0.5</v>
      </c>
      <c r="F10" s="10" t="s">
        <v>556</v>
      </c>
    </row>
    <row r="11" spans="1:3" ht="15">
      <c r="A11" s="10" t="s">
        <v>512</v>
      </c>
      <c r="C11" s="213">
        <v>0.015</v>
      </c>
    </row>
    <row r="12" ht="15">
      <c r="B12" s="10" t="e">
        <f>B7/(C10*C11)</f>
        <v>#NAME?</v>
      </c>
    </row>
    <row r="13" ht="15">
      <c r="A13" s="10" t="s">
        <v>513</v>
      </c>
    </row>
    <row r="14" ht="15">
      <c r="A14" s="10" t="s">
        <v>514</v>
      </c>
    </row>
    <row r="15" spans="2:6" ht="18">
      <c r="B15" s="127" t="e">
        <f>0.925*B12</f>
        <v>#NAME?</v>
      </c>
      <c r="F15" s="10" t="s">
        <v>556</v>
      </c>
    </row>
    <row r="16" ht="15">
      <c r="A16" s="10" t="s">
        <v>515</v>
      </c>
    </row>
    <row r="17" ht="15">
      <c r="A17" s="10" t="s">
        <v>516</v>
      </c>
    </row>
    <row r="18" spans="1:6" ht="18">
      <c r="A18" s="10" t="s">
        <v>517</v>
      </c>
      <c r="C18" s="213">
        <v>206</v>
      </c>
      <c r="F18" s="10" t="s">
        <v>557</v>
      </c>
    </row>
    <row r="19" ht="15">
      <c r="B19" s="127" t="e">
        <f>B15/C18</f>
        <v>#NAME?</v>
      </c>
    </row>
    <row r="20" ht="15">
      <c r="A20" s="10" t="s">
        <v>518</v>
      </c>
    </row>
    <row r="21" ht="15">
      <c r="A21" s="10" t="s">
        <v>519</v>
      </c>
    </row>
    <row r="22" spans="3:6" ht="18">
      <c r="C22" s="213">
        <v>60</v>
      </c>
      <c r="F22" s="10" t="s">
        <v>556</v>
      </c>
    </row>
    <row r="23" ht="15">
      <c r="B23" s="127" t="e">
        <f>'А2-Н2-А1-Н1-М'!G3/'Расчет декарбонизатора'!C22</f>
        <v>#NAME?</v>
      </c>
    </row>
    <row r="24" ht="15">
      <c r="A24" s="10" t="s">
        <v>520</v>
      </c>
    </row>
    <row r="25" ht="15">
      <c r="A25" s="10" t="s">
        <v>521</v>
      </c>
    </row>
    <row r="26" spans="2:6" ht="15">
      <c r="B26" s="127" t="e">
        <f>SQRT(4*B23/3.14)</f>
        <v>#NAME?</v>
      </c>
      <c r="F26" s="10" t="s">
        <v>220</v>
      </c>
    </row>
    <row r="27" ht="15">
      <c r="A27" s="10" t="s">
        <v>522</v>
      </c>
    </row>
    <row r="28" ht="15">
      <c r="A28" s="10" t="s">
        <v>523</v>
      </c>
    </row>
    <row r="29" spans="2:6" ht="15">
      <c r="B29" s="127" t="e">
        <f>B19/B23</f>
        <v>#NAME?</v>
      </c>
      <c r="F29" s="10" t="s">
        <v>220</v>
      </c>
    </row>
    <row r="30" ht="15">
      <c r="A30" s="10" t="s">
        <v>524</v>
      </c>
    </row>
    <row r="31" ht="15">
      <c r="A31" s="10" t="s">
        <v>525</v>
      </c>
    </row>
    <row r="32" spans="2:6" ht="18">
      <c r="B32" s="127" t="e">
        <f>40*B7</f>
        <v>#NAME?</v>
      </c>
      <c r="F32" s="10" t="s">
        <v>558</v>
      </c>
    </row>
    <row r="33" ht="15">
      <c r="A33" s="10" t="s">
        <v>526</v>
      </c>
    </row>
    <row r="34" ht="15">
      <c r="A34" s="10" t="s">
        <v>527</v>
      </c>
    </row>
    <row r="35" spans="2:3" ht="15">
      <c r="B35" s="127" t="e">
        <f>30*B29+40</f>
        <v>#NAME?</v>
      </c>
      <c r="C35" s="10" t="s">
        <v>528</v>
      </c>
    </row>
    <row r="36" ht="15"/>
  </sheetData>
  <sheetProtection/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/>
  <dimension ref="A1:E7"/>
  <sheetViews>
    <sheetView zoomScalePageLayoutView="0" workbookViewId="0" topLeftCell="B1">
      <selection activeCell="B9" sqref="B9:B65536"/>
    </sheetView>
  </sheetViews>
  <sheetFormatPr defaultColWidth="0" defaultRowHeight="12.75" zeroHeight="1"/>
  <cols>
    <col min="1" max="1" width="38.375" style="0" customWidth="1"/>
    <col min="2" max="2" width="4.375" style="0" customWidth="1"/>
    <col min="3" max="3" width="6.00390625" style="0" customWidth="1"/>
    <col min="4" max="4" width="16.25390625" style="0" customWidth="1"/>
    <col min="5" max="6" width="9.125" style="0" customWidth="1"/>
    <col min="7" max="16384" width="0" style="0" hidden="1" customWidth="1"/>
  </cols>
  <sheetData>
    <row r="1" ht="20.25">
      <c r="A1" s="128" t="s">
        <v>529</v>
      </c>
    </row>
    <row r="2" spans="1:4" ht="12.75">
      <c r="A2" t="s">
        <v>530</v>
      </c>
      <c r="D2" t="s">
        <v>531</v>
      </c>
    </row>
    <row r="3" spans="1:5" ht="14.25">
      <c r="A3" t="s">
        <v>532</v>
      </c>
      <c r="B3" s="42" t="s">
        <v>268</v>
      </c>
      <c r="C3" t="s">
        <v>533</v>
      </c>
      <c r="D3" t="s">
        <v>534</v>
      </c>
      <c r="E3" s="2" t="e">
        <f>'А2-Н2-А1-Н1-М'!J3+'А2-Н2-А1-Н1-М'!J26+'Расчет теплосети'!D4+'Расчет теплосети'!D29</f>
        <v>#NAME?</v>
      </c>
    </row>
    <row r="4" spans="1:5" ht="12.75">
      <c r="A4" t="s">
        <v>535</v>
      </c>
      <c r="B4" s="60"/>
      <c r="C4" t="s">
        <v>221</v>
      </c>
      <c r="E4" s="182">
        <v>2</v>
      </c>
    </row>
    <row r="5" spans="1:5" ht="14.25">
      <c r="A5" t="s">
        <v>536</v>
      </c>
      <c r="B5" s="42" t="s">
        <v>268</v>
      </c>
      <c r="C5" t="s">
        <v>537</v>
      </c>
      <c r="D5" t="s">
        <v>538</v>
      </c>
      <c r="E5" s="2" t="e">
        <f>E3*0.03</f>
        <v>#NAME?</v>
      </c>
    </row>
    <row r="6" spans="1:5" ht="14.25">
      <c r="A6" t="s">
        <v>539</v>
      </c>
      <c r="B6" s="42" t="s">
        <v>268</v>
      </c>
      <c r="C6" t="s">
        <v>540</v>
      </c>
      <c r="D6" t="s">
        <v>541</v>
      </c>
      <c r="E6" t="e">
        <f>1.25*E3/E4+E5</f>
        <v>#NAME?</v>
      </c>
    </row>
    <row r="7" spans="1:5" ht="12.75">
      <c r="A7" t="s">
        <v>542</v>
      </c>
      <c r="E7" s="6" t="s">
        <v>543</v>
      </c>
    </row>
    <row r="8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"/>
  <sheetViews>
    <sheetView tabSelected="1" zoomScalePageLayoutView="0" workbookViewId="0" topLeftCell="A1">
      <selection activeCell="A3" sqref="A3"/>
    </sheetView>
  </sheetViews>
  <sheetFormatPr defaultColWidth="0" defaultRowHeight="12.75" zeroHeight="1"/>
  <cols>
    <col min="1" max="1" width="177.125" style="0" customWidth="1"/>
    <col min="2" max="16384" width="0" style="0" hidden="1" customWidth="1"/>
  </cols>
  <sheetData>
    <row r="1" ht="20.25">
      <c r="A1" s="128" t="s">
        <v>1</v>
      </c>
    </row>
    <row r="2" ht="12.75">
      <c r="A2" t="s">
        <v>2</v>
      </c>
    </row>
    <row r="3" ht="12.75">
      <c r="A3" t="s">
        <v>583</v>
      </c>
    </row>
    <row r="4" ht="12.75">
      <c r="A4" t="s">
        <v>582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7"/>
  <sheetViews>
    <sheetView zoomScalePageLayoutView="0" workbookViewId="0" topLeftCell="A1">
      <selection activeCell="B25" sqref="B25"/>
    </sheetView>
  </sheetViews>
  <sheetFormatPr defaultColWidth="0" defaultRowHeight="12.75" zeroHeight="1"/>
  <cols>
    <col min="1" max="1" width="28.125" style="10" customWidth="1"/>
    <col min="2" max="3" width="9.125" style="10" customWidth="1"/>
    <col min="4" max="4" width="13.75390625" style="10" customWidth="1"/>
    <col min="5" max="5" width="18.75390625" style="10" customWidth="1"/>
    <col min="6" max="6" width="0" style="10" hidden="1" customWidth="1"/>
    <col min="7" max="16384" width="9.125" style="10" hidden="1" customWidth="1"/>
  </cols>
  <sheetData>
    <row r="1" ht="23.25">
      <c r="A1" s="248" t="s">
        <v>570</v>
      </c>
    </row>
    <row r="2" ht="20.25">
      <c r="A2" s="159"/>
    </row>
    <row r="3" ht="15"/>
    <row r="4" ht="15.75" thickBot="1"/>
    <row r="5" spans="1:5" ht="15.75">
      <c r="A5" s="162" t="s">
        <v>131</v>
      </c>
      <c r="B5" s="250">
        <v>4</v>
      </c>
      <c r="C5" s="163"/>
      <c r="D5" s="163" t="s">
        <v>132</v>
      </c>
      <c r="E5" s="251">
        <v>1</v>
      </c>
    </row>
    <row r="6" spans="1:5" ht="15.75">
      <c r="A6" s="165" t="s">
        <v>572</v>
      </c>
      <c r="B6" s="249">
        <v>300</v>
      </c>
      <c r="C6" s="166" t="s">
        <v>134</v>
      </c>
      <c r="D6" s="166" t="s">
        <v>135</v>
      </c>
      <c r="E6" s="252">
        <v>1</v>
      </c>
    </row>
    <row r="7" spans="1:5" ht="15.75" thickBot="1">
      <c r="A7" s="165" t="s">
        <v>133</v>
      </c>
      <c r="B7" s="169">
        <f>B5*B6</f>
        <v>1200</v>
      </c>
      <c r="C7" s="169" t="s">
        <v>134</v>
      </c>
      <c r="D7" s="169" t="s">
        <v>136</v>
      </c>
      <c r="E7" s="253">
        <v>1</v>
      </c>
    </row>
    <row r="8" ht="15"/>
    <row r="9" ht="15">
      <c r="A9" s="160">
        <f>IF(B6&gt;=300,IF(E6=2,"Ошибка: для блоков СКД барабанные котлы не применяются",""),"")</f>
      </c>
    </row>
    <row r="10" ht="15">
      <c r="A10" s="160">
        <f>IF(OR(E5=3,E5=4),IF(E7&lt;&gt;4,"Ошибка: неверно задано топливо",""),"")</f>
      </c>
    </row>
    <row r="11" spans="1:5" ht="15">
      <c r="A11" s="160">
        <f>IF(E7=4,IF(AND(E5&lt;&gt;3,E5&lt;&gt;4),"Ошибка: неверно задано топливо",""),"")</f>
      </c>
      <c r="B11" s="166"/>
      <c r="C11" s="166"/>
      <c r="D11" s="166"/>
      <c r="E11" s="166"/>
    </row>
    <row r="12" spans="1:5" ht="15.75" thickBot="1">
      <c r="A12" s="166"/>
      <c r="B12" s="166"/>
      <c r="C12" s="166"/>
      <c r="D12" s="166"/>
      <c r="E12" s="60"/>
    </row>
    <row r="13" spans="1:6" ht="45.75">
      <c r="A13" s="247" t="s">
        <v>137</v>
      </c>
      <c r="B13" s="163"/>
      <c r="C13" s="163"/>
      <c r="D13" s="254">
        <v>3.2</v>
      </c>
      <c r="E13" s="164" t="s">
        <v>138</v>
      </c>
      <c r="F13"/>
    </row>
    <row r="14" spans="1:6" ht="21">
      <c r="A14" s="165" t="s">
        <v>139</v>
      </c>
      <c r="B14" s="166"/>
      <c r="C14" s="166"/>
      <c r="D14" s="171">
        <f>D13*B7</f>
        <v>3840</v>
      </c>
      <c r="E14" s="167" t="s">
        <v>558</v>
      </c>
      <c r="F14"/>
    </row>
    <row r="15" spans="1:6" ht="18">
      <c r="A15" s="165" t="s">
        <v>140</v>
      </c>
      <c r="B15" s="166"/>
      <c r="C15" s="166"/>
      <c r="D15" s="171">
        <f>IF(E5=2,0.25*D14,0)</f>
        <v>0</v>
      </c>
      <c r="E15" s="167" t="s">
        <v>558</v>
      </c>
      <c r="F15"/>
    </row>
    <row r="16" spans="1:6" ht="18">
      <c r="A16" s="165" t="s">
        <v>141</v>
      </c>
      <c r="B16" s="166"/>
      <c r="C16" s="166"/>
      <c r="D16" s="171">
        <f>IF(E6=2,(D14+D15)*0.03,0)</f>
        <v>0</v>
      </c>
      <c r="E16" s="167" t="s">
        <v>558</v>
      </c>
      <c r="F16"/>
    </row>
    <row r="17" spans="1:6" ht="18">
      <c r="A17" s="165" t="s">
        <v>142</v>
      </c>
      <c r="B17" s="166"/>
      <c r="C17" s="166"/>
      <c r="D17" s="171">
        <f>IF(E7=3,400*B7/1000*0.15,0)</f>
        <v>0</v>
      </c>
      <c r="E17" s="167" t="s">
        <v>558</v>
      </c>
      <c r="F17"/>
    </row>
    <row r="18" spans="1:6" ht="18.75" thickBot="1">
      <c r="A18" s="168" t="s">
        <v>143</v>
      </c>
      <c r="B18" s="169"/>
      <c r="C18" s="169"/>
      <c r="D18" s="246">
        <f>D14+D15+D16+D17</f>
        <v>3840</v>
      </c>
      <c r="E18" s="170" t="s">
        <v>558</v>
      </c>
      <c r="F18"/>
    </row>
    <row r="19" spans="4:6" ht="15.75" thickBot="1">
      <c r="D19" s="161"/>
      <c r="F19"/>
    </row>
    <row r="20" spans="1:6" ht="18">
      <c r="A20" s="162" t="s">
        <v>144</v>
      </c>
      <c r="B20" s="163"/>
      <c r="C20" s="56"/>
      <c r="D20" s="163">
        <f>IF(E5=3,D18*0.01,IF(E5=4,D18*0.005,D18*0.02))</f>
        <v>76.8</v>
      </c>
      <c r="E20" s="164" t="s">
        <v>558</v>
      </c>
      <c r="F20"/>
    </row>
    <row r="21" spans="1:6" ht="18">
      <c r="A21" s="165" t="s">
        <v>145</v>
      </c>
      <c r="B21" s="166"/>
      <c r="C21" s="60"/>
      <c r="D21" s="166">
        <f>IF(OR(E6=2,E5=3,AND(E6=1,B6&lt;=300)),25,IF(B6=500,50,IF(B6=800,75,0)))</f>
        <v>25</v>
      </c>
      <c r="E21" s="167" t="s">
        <v>558</v>
      </c>
      <c r="F21"/>
    </row>
    <row r="22" spans="1:6" ht="18">
      <c r="A22" s="165" t="s">
        <v>146</v>
      </c>
      <c r="B22" s="166"/>
      <c r="C22" s="60"/>
      <c r="D22" s="166">
        <f>D20+D21</f>
        <v>101.8</v>
      </c>
      <c r="E22" s="167" t="s">
        <v>558</v>
      </c>
      <c r="F22"/>
    </row>
    <row r="23" spans="1:6" ht="18.75" thickBot="1">
      <c r="A23" s="168" t="s">
        <v>147</v>
      </c>
      <c r="B23" s="169"/>
      <c r="C23" s="70"/>
      <c r="D23" s="169">
        <f>ROUNDUP(D22,-1)</f>
        <v>110</v>
      </c>
      <c r="E23" s="170" t="s">
        <v>558</v>
      </c>
      <c r="F23"/>
    </row>
    <row r="24" spans="3:6" ht="15">
      <c r="C24"/>
      <c r="F24"/>
    </row>
    <row r="25" spans="1:6" ht="26.25">
      <c r="A25" s="172" t="s">
        <v>148</v>
      </c>
      <c r="B25" s="172">
        <f>D23</f>
        <v>110</v>
      </c>
      <c r="C25" s="172" t="s">
        <v>571</v>
      </c>
      <c r="F25"/>
    </row>
    <row r="26" spans="3:6" ht="15">
      <c r="C26"/>
      <c r="F26"/>
    </row>
    <row r="27" ht="15" hidden="1"/>
    <row r="28" ht="15" hidden="1">
      <c r="A28" s="10" t="s">
        <v>149</v>
      </c>
    </row>
    <row r="29" ht="15" hidden="1">
      <c r="A29" s="10" t="s">
        <v>150</v>
      </c>
    </row>
    <row r="30" ht="15" hidden="1">
      <c r="A30" s="10" t="s">
        <v>151</v>
      </c>
    </row>
    <row r="31" ht="15" hidden="1">
      <c r="A31" s="10" t="s">
        <v>152</v>
      </c>
    </row>
    <row r="32" ht="15" hidden="1">
      <c r="A32" s="10" t="s">
        <v>153</v>
      </c>
    </row>
    <row r="33" ht="15" hidden="1">
      <c r="A33" s="10" t="s">
        <v>154</v>
      </c>
    </row>
    <row r="34" ht="15" hidden="1">
      <c r="A34" s="10" t="s">
        <v>155</v>
      </c>
    </row>
    <row r="35" ht="15" hidden="1">
      <c r="A35" s="10" t="s">
        <v>156</v>
      </c>
    </row>
    <row r="36" ht="15" hidden="1">
      <c r="A36" s="10" t="s">
        <v>157</v>
      </c>
    </row>
    <row r="37" ht="15" hidden="1">
      <c r="A37" s="10" t="s">
        <v>158</v>
      </c>
    </row>
  </sheetData>
  <sheetProtection/>
  <printOptions gridLines="1"/>
  <pageMargins left="0.75" right="0.75" top="1" bottom="1" header="0.5" footer="0.5"/>
  <pageSetup horizontalDpi="240" verticalDpi="240" orientation="portrait" paperSize="9" r:id="rId2"/>
  <headerFooter alignWithMargins="0">
    <oddHeader>&amp;C&amp;A</oddHeader>
    <oddFooter>&amp;CСтр.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8"/>
  <sheetViews>
    <sheetView zoomScalePageLayoutView="0" workbookViewId="0" topLeftCell="A1">
      <pane xSplit="2" ySplit="1" topLeftCell="C2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3" sqref="A23"/>
    </sheetView>
  </sheetViews>
  <sheetFormatPr defaultColWidth="0" defaultRowHeight="12.75" zeroHeight="1"/>
  <cols>
    <col min="1" max="2" width="16.75390625" style="157" customWidth="1"/>
    <col min="3" max="8" width="9.125" style="157" customWidth="1"/>
    <col min="9" max="9" width="7.875" style="157" customWidth="1"/>
    <col min="10" max="10" width="8.25390625" style="157" customWidth="1"/>
    <col min="11" max="11" width="13.25390625" style="157" customWidth="1"/>
    <col min="12" max="12" width="16.25390625" style="157" customWidth="1"/>
    <col min="13" max="13" width="15.75390625" style="157" customWidth="1"/>
    <col min="14" max="14" width="13.75390625" style="157" customWidth="1"/>
    <col min="15" max="15" width="13.00390625" style="157" customWidth="1"/>
    <col min="16" max="16384" width="0" style="157" hidden="1" customWidth="1"/>
  </cols>
  <sheetData>
    <row r="1" spans="1:15" s="155" customFormat="1" ht="51" customHeight="1">
      <c r="A1" s="153" t="s">
        <v>3</v>
      </c>
      <c r="B1" s="154" t="s">
        <v>4</v>
      </c>
      <c r="C1" s="154" t="s">
        <v>5</v>
      </c>
      <c r="D1" s="154" t="s">
        <v>6</v>
      </c>
      <c r="E1" s="154" t="s">
        <v>7</v>
      </c>
      <c r="F1" s="154" t="s">
        <v>8</v>
      </c>
      <c r="G1" s="154" t="s">
        <v>9</v>
      </c>
      <c r="H1" s="154" t="s">
        <v>10</v>
      </c>
      <c r="I1" s="154" t="s">
        <v>11</v>
      </c>
      <c r="J1" s="154" t="s">
        <v>12</v>
      </c>
      <c r="K1" s="154" t="s">
        <v>13</v>
      </c>
      <c r="L1" s="154" t="s">
        <v>14</v>
      </c>
      <c r="M1" s="154" t="s">
        <v>15</v>
      </c>
      <c r="N1" s="154" t="s">
        <v>16</v>
      </c>
      <c r="O1" s="154" t="s">
        <v>17</v>
      </c>
    </row>
    <row r="2" spans="1:15" ht="12.75">
      <c r="A2" s="156" t="s">
        <v>18</v>
      </c>
      <c r="B2" s="156" t="s">
        <v>19</v>
      </c>
      <c r="C2" s="156">
        <v>90.2</v>
      </c>
      <c r="D2" s="156">
        <v>15.2</v>
      </c>
      <c r="E2" s="156">
        <v>118.6</v>
      </c>
      <c r="F2" s="156">
        <v>190.4</v>
      </c>
      <c r="G2" s="156">
        <v>202.7</v>
      </c>
      <c r="H2" s="156">
        <v>126.9</v>
      </c>
      <c r="I2" s="156">
        <v>0</v>
      </c>
      <c r="J2" s="156">
        <v>10</v>
      </c>
      <c r="K2" s="156">
        <v>0</v>
      </c>
      <c r="L2" s="156">
        <v>4970</v>
      </c>
      <c r="M2" s="156">
        <v>0</v>
      </c>
      <c r="N2" s="156">
        <v>5.76</v>
      </c>
      <c r="O2" s="156">
        <v>3.12</v>
      </c>
    </row>
    <row r="3" spans="1:15" ht="12.75">
      <c r="A3" s="156" t="s">
        <v>20</v>
      </c>
      <c r="B3" s="156" t="s">
        <v>21</v>
      </c>
      <c r="C3" s="156">
        <v>13.4</v>
      </c>
      <c r="D3" s="156">
        <v>2.5</v>
      </c>
      <c r="E3" s="156">
        <v>0</v>
      </c>
      <c r="F3" s="156">
        <v>42.7</v>
      </c>
      <c r="G3" s="156">
        <v>4.2</v>
      </c>
      <c r="H3" s="156">
        <v>3</v>
      </c>
      <c r="I3" s="156">
        <v>0</v>
      </c>
      <c r="J3" s="156">
        <v>9</v>
      </c>
      <c r="K3" s="156">
        <v>6.8</v>
      </c>
      <c r="L3" s="156">
        <v>35</v>
      </c>
      <c r="M3" s="156">
        <v>2.8</v>
      </c>
      <c r="N3" s="156">
        <v>0.87</v>
      </c>
      <c r="O3" s="156">
        <v>0.7</v>
      </c>
    </row>
    <row r="4" spans="1:15" ht="12.75">
      <c r="A4" s="156" t="s">
        <v>22</v>
      </c>
      <c r="B4" s="156" t="s">
        <v>23</v>
      </c>
      <c r="C4" s="156">
        <v>16.5</v>
      </c>
      <c r="D4" s="156">
        <v>4.3</v>
      </c>
      <c r="E4" s="156">
        <v>4.3</v>
      </c>
      <c r="F4" s="156">
        <v>67.6</v>
      </c>
      <c r="G4" s="156">
        <v>7</v>
      </c>
      <c r="H4" s="156">
        <v>2.2</v>
      </c>
      <c r="I4" s="156">
        <v>0</v>
      </c>
      <c r="J4" s="156">
        <v>0</v>
      </c>
      <c r="K4" s="156">
        <v>0.7</v>
      </c>
      <c r="L4" s="156">
        <v>17</v>
      </c>
      <c r="M4" s="156">
        <v>2.6</v>
      </c>
      <c r="N4" s="156">
        <v>1.18</v>
      </c>
      <c r="O4" s="156">
        <v>1.11</v>
      </c>
    </row>
    <row r="5" spans="1:15" ht="12.75">
      <c r="A5" s="156" t="s">
        <v>24</v>
      </c>
      <c r="B5" s="156" t="s">
        <v>25</v>
      </c>
      <c r="C5" s="156">
        <v>34.4</v>
      </c>
      <c r="D5" s="156">
        <v>9.1</v>
      </c>
      <c r="E5" s="156">
        <v>2.2</v>
      </c>
      <c r="F5" s="156">
        <v>119</v>
      </c>
      <c r="G5" s="156">
        <v>23.1</v>
      </c>
      <c r="H5" s="156">
        <v>5.8</v>
      </c>
      <c r="I5" s="156">
        <v>0</v>
      </c>
      <c r="J5" s="156">
        <v>8.7</v>
      </c>
      <c r="K5" s="156">
        <v>0.8</v>
      </c>
      <c r="L5" s="156">
        <v>13</v>
      </c>
      <c r="M5" s="156">
        <v>14.2</v>
      </c>
      <c r="N5" s="156">
        <v>2.5</v>
      </c>
      <c r="O5" s="156">
        <v>1.95</v>
      </c>
    </row>
    <row r="6" spans="1:15" ht="12.75">
      <c r="A6" s="156" t="s">
        <v>24</v>
      </c>
      <c r="B6" s="156" t="s">
        <v>26</v>
      </c>
      <c r="C6" s="156">
        <v>72</v>
      </c>
      <c r="D6" s="156">
        <v>14.5</v>
      </c>
      <c r="E6" s="156">
        <v>20.3</v>
      </c>
      <c r="F6" s="156">
        <v>140.3</v>
      </c>
      <c r="G6" s="156">
        <v>140</v>
      </c>
      <c r="H6" s="156">
        <v>15</v>
      </c>
      <c r="I6" s="156">
        <v>0</v>
      </c>
      <c r="J6" s="156">
        <v>3</v>
      </c>
      <c r="K6" s="156">
        <v>0.6</v>
      </c>
      <c r="L6" s="156">
        <v>10</v>
      </c>
      <c r="M6" s="156">
        <v>11.2</v>
      </c>
      <c r="N6" s="156">
        <v>4.8</v>
      </c>
      <c r="O6" s="156">
        <v>2.3</v>
      </c>
    </row>
    <row r="7" spans="1:15" ht="12.75">
      <c r="A7" s="156" t="s">
        <v>27</v>
      </c>
      <c r="B7" s="156" t="s">
        <v>28</v>
      </c>
      <c r="C7" s="156">
        <v>23.7</v>
      </c>
      <c r="D7" s="156">
        <v>3.5</v>
      </c>
      <c r="E7" s="156">
        <v>6.2</v>
      </c>
      <c r="F7" s="156">
        <v>73.2</v>
      </c>
      <c r="G7" s="156">
        <v>6.7</v>
      </c>
      <c r="H7" s="156">
        <v>14</v>
      </c>
      <c r="I7" s="156">
        <v>0.3</v>
      </c>
      <c r="J7" s="156">
        <v>13.7</v>
      </c>
      <c r="K7" s="156">
        <v>1.26</v>
      </c>
      <c r="L7" s="156">
        <v>0</v>
      </c>
      <c r="M7" s="156">
        <v>25.3</v>
      </c>
      <c r="N7" s="156">
        <v>1.47</v>
      </c>
      <c r="O7" s="156">
        <v>1.2</v>
      </c>
    </row>
    <row r="8" spans="1:15" ht="12.75">
      <c r="A8" s="156" t="s">
        <v>29</v>
      </c>
      <c r="B8" s="156" t="s">
        <v>30</v>
      </c>
      <c r="C8" s="156">
        <v>72.2</v>
      </c>
      <c r="D8" s="156">
        <v>17.4</v>
      </c>
      <c r="E8" s="156">
        <v>12.5</v>
      </c>
      <c r="F8" s="156">
        <v>280.6</v>
      </c>
      <c r="G8" s="156">
        <v>33.5</v>
      </c>
      <c r="H8" s="156">
        <v>10</v>
      </c>
      <c r="I8" s="156">
        <v>0</v>
      </c>
      <c r="J8" s="156">
        <v>21.6</v>
      </c>
      <c r="K8" s="156">
        <v>0</v>
      </c>
      <c r="L8" s="156">
        <v>0</v>
      </c>
      <c r="M8" s="156">
        <v>0</v>
      </c>
      <c r="N8" s="156">
        <v>5.1</v>
      </c>
      <c r="O8" s="156">
        <v>4.6</v>
      </c>
    </row>
    <row r="9" spans="1:15" ht="12.75">
      <c r="A9" s="156" t="s">
        <v>31</v>
      </c>
      <c r="B9" s="156" t="s">
        <v>32</v>
      </c>
      <c r="C9" s="156">
        <v>42.7</v>
      </c>
      <c r="D9" s="156">
        <v>13.1</v>
      </c>
      <c r="E9" s="156">
        <v>4</v>
      </c>
      <c r="F9" s="156">
        <v>183</v>
      </c>
      <c r="G9" s="156">
        <v>12.6</v>
      </c>
      <c r="H9" s="156">
        <v>3.7</v>
      </c>
      <c r="I9" s="156">
        <v>0.3</v>
      </c>
      <c r="J9" s="156">
        <v>13</v>
      </c>
      <c r="K9" s="156">
        <v>50</v>
      </c>
      <c r="L9" s="156">
        <v>50</v>
      </c>
      <c r="M9" s="156">
        <v>12.5</v>
      </c>
      <c r="N9" s="156">
        <v>3.2</v>
      </c>
      <c r="O9" s="156">
        <v>3</v>
      </c>
    </row>
    <row r="10" spans="1:15" ht="12.75">
      <c r="A10" s="156" t="s">
        <v>33</v>
      </c>
      <c r="B10" s="156" t="s">
        <v>34</v>
      </c>
      <c r="C10" s="156">
        <v>102</v>
      </c>
      <c r="D10" s="156">
        <v>16.8</v>
      </c>
      <c r="E10" s="156">
        <v>6.9</v>
      </c>
      <c r="F10" s="156">
        <v>264</v>
      </c>
      <c r="G10" s="156">
        <v>93.2</v>
      </c>
      <c r="H10" s="156">
        <v>7.1</v>
      </c>
      <c r="I10" s="156">
        <v>0</v>
      </c>
      <c r="J10" s="156">
        <v>10.2</v>
      </c>
      <c r="K10" s="156">
        <v>0</v>
      </c>
      <c r="L10" s="156">
        <v>0</v>
      </c>
      <c r="M10" s="156">
        <v>8.5</v>
      </c>
      <c r="N10" s="156">
        <v>6.48</v>
      </c>
      <c r="O10" s="156">
        <v>4.34</v>
      </c>
    </row>
    <row r="11" spans="1:15" ht="12.75">
      <c r="A11" s="156" t="s">
        <v>35</v>
      </c>
      <c r="B11" s="156" t="s">
        <v>36</v>
      </c>
      <c r="C11" s="156">
        <v>68.7</v>
      </c>
      <c r="D11" s="156">
        <v>10.3</v>
      </c>
      <c r="E11" s="156">
        <v>6.1</v>
      </c>
      <c r="F11" s="156">
        <v>250.8</v>
      </c>
      <c r="G11" s="156">
        <v>15</v>
      </c>
      <c r="H11" s="156">
        <v>4.9</v>
      </c>
      <c r="I11" s="156">
        <v>0</v>
      </c>
      <c r="J11" s="156">
        <v>0</v>
      </c>
      <c r="K11" s="156">
        <v>0.06</v>
      </c>
      <c r="L11" s="156">
        <v>14</v>
      </c>
      <c r="M11" s="156">
        <v>5.3</v>
      </c>
      <c r="N11" s="156">
        <v>4.29</v>
      </c>
      <c r="O11" s="156">
        <v>4.1</v>
      </c>
    </row>
    <row r="12" spans="1:15" ht="12.75">
      <c r="A12" s="156" t="s">
        <v>37</v>
      </c>
      <c r="B12" s="156" t="s">
        <v>38</v>
      </c>
      <c r="C12" s="156">
        <v>51.9</v>
      </c>
      <c r="D12" s="156">
        <v>15</v>
      </c>
      <c r="E12" s="156">
        <v>8.6</v>
      </c>
      <c r="F12" s="156">
        <v>188</v>
      </c>
      <c r="G12" s="156">
        <v>29.7</v>
      </c>
      <c r="H12" s="156">
        <v>15.8</v>
      </c>
      <c r="I12" s="156">
        <v>2.4</v>
      </c>
      <c r="J12" s="156">
        <v>4</v>
      </c>
      <c r="K12" s="156">
        <v>4.4</v>
      </c>
      <c r="L12" s="156">
        <v>0</v>
      </c>
      <c r="M12" s="156">
        <v>10.2</v>
      </c>
      <c r="N12" s="156">
        <v>3.82</v>
      </c>
      <c r="O12" s="156">
        <v>3.08</v>
      </c>
    </row>
    <row r="13" spans="1:15" ht="12.75">
      <c r="A13" s="156" t="s">
        <v>39</v>
      </c>
      <c r="B13" s="156" t="s">
        <v>40</v>
      </c>
      <c r="C13" s="156">
        <v>53.9</v>
      </c>
      <c r="D13" s="156">
        <v>29.4</v>
      </c>
      <c r="E13" s="156">
        <v>19.6</v>
      </c>
      <c r="F13" s="156">
        <v>293.5</v>
      </c>
      <c r="G13" s="156">
        <v>48.2</v>
      </c>
      <c r="H13" s="156">
        <v>5</v>
      </c>
      <c r="I13" s="156">
        <v>0</v>
      </c>
      <c r="J13" s="156">
        <v>0</v>
      </c>
      <c r="K13" s="156">
        <v>0</v>
      </c>
      <c r="L13" s="156">
        <v>0</v>
      </c>
      <c r="M13" s="156">
        <v>5.8</v>
      </c>
      <c r="N13" s="156">
        <v>5.1</v>
      </c>
      <c r="O13" s="156">
        <v>4.81</v>
      </c>
    </row>
    <row r="14" spans="1:15" ht="12.75">
      <c r="A14" s="156" t="s">
        <v>41</v>
      </c>
      <c r="B14" s="156" t="s">
        <v>42</v>
      </c>
      <c r="C14" s="156">
        <v>84</v>
      </c>
      <c r="D14" s="156">
        <v>7.3</v>
      </c>
      <c r="E14" s="156">
        <v>10.8</v>
      </c>
      <c r="F14" s="156">
        <v>195.2</v>
      </c>
      <c r="G14" s="156">
        <v>48</v>
      </c>
      <c r="H14" s="156">
        <v>38</v>
      </c>
      <c r="I14" s="156">
        <v>0</v>
      </c>
      <c r="J14" s="156">
        <v>22</v>
      </c>
      <c r="K14" s="156">
        <v>0.1</v>
      </c>
      <c r="L14" s="156">
        <v>0</v>
      </c>
      <c r="M14" s="156">
        <v>0</v>
      </c>
      <c r="N14" s="156">
        <v>4.8</v>
      </c>
      <c r="O14" s="156">
        <v>3.2</v>
      </c>
    </row>
    <row r="15" spans="1:15" ht="12.75">
      <c r="A15" s="156" t="s">
        <v>43</v>
      </c>
      <c r="B15" s="156" t="s">
        <v>44</v>
      </c>
      <c r="C15" s="156">
        <v>37</v>
      </c>
      <c r="D15" s="156">
        <v>9.1</v>
      </c>
      <c r="E15" s="156">
        <v>0</v>
      </c>
      <c r="F15" s="156">
        <v>140</v>
      </c>
      <c r="G15" s="156">
        <v>10.1</v>
      </c>
      <c r="H15" s="156">
        <v>3.2</v>
      </c>
      <c r="I15" s="156">
        <v>0</v>
      </c>
      <c r="J15" s="156">
        <v>11.4</v>
      </c>
      <c r="K15" s="156">
        <v>3.9</v>
      </c>
      <c r="L15" s="156">
        <v>2.6</v>
      </c>
      <c r="M15" s="156">
        <v>1</v>
      </c>
      <c r="N15" s="156">
        <v>2.6</v>
      </c>
      <c r="O15" s="156">
        <v>3.3</v>
      </c>
    </row>
    <row r="16" spans="1:15" ht="12.75">
      <c r="A16" s="156" t="s">
        <v>45</v>
      </c>
      <c r="B16" s="156" t="s">
        <v>46</v>
      </c>
      <c r="C16" s="156">
        <v>28</v>
      </c>
      <c r="D16" s="156">
        <v>17</v>
      </c>
      <c r="E16" s="156">
        <v>36.1</v>
      </c>
      <c r="F16" s="156">
        <v>165</v>
      </c>
      <c r="G16" s="156">
        <v>31.7</v>
      </c>
      <c r="H16" s="156">
        <v>34</v>
      </c>
      <c r="I16" s="156">
        <v>3</v>
      </c>
      <c r="J16" s="156">
        <v>5.7</v>
      </c>
      <c r="K16" s="156">
        <v>0</v>
      </c>
      <c r="L16" s="156">
        <v>172.4</v>
      </c>
      <c r="M16" s="156">
        <v>14.8</v>
      </c>
      <c r="N16" s="156">
        <v>2.8</v>
      </c>
      <c r="O16" s="156">
        <v>2.7</v>
      </c>
    </row>
    <row r="17" spans="1:15" ht="12.75">
      <c r="A17" s="156" t="s">
        <v>47</v>
      </c>
      <c r="B17" s="156" t="s">
        <v>48</v>
      </c>
      <c r="C17" s="156">
        <v>90</v>
      </c>
      <c r="D17" s="156">
        <v>8.5</v>
      </c>
      <c r="E17" s="156">
        <v>240</v>
      </c>
      <c r="F17" s="156">
        <v>134.4</v>
      </c>
      <c r="G17" s="156">
        <v>50.4</v>
      </c>
      <c r="H17" s="156">
        <v>440</v>
      </c>
      <c r="I17" s="156">
        <v>0</v>
      </c>
      <c r="J17" s="156">
        <v>9.7</v>
      </c>
      <c r="K17" s="156">
        <v>0</v>
      </c>
      <c r="L17" s="156">
        <v>155</v>
      </c>
      <c r="M17" s="156">
        <v>11.8</v>
      </c>
      <c r="N17" s="156">
        <v>5.2</v>
      </c>
      <c r="O17" s="156">
        <v>2.2</v>
      </c>
    </row>
    <row r="18" spans="1:15" ht="12.75">
      <c r="A18" s="156" t="s">
        <v>49</v>
      </c>
      <c r="B18" s="156" t="s">
        <v>50</v>
      </c>
      <c r="C18" s="156">
        <v>47</v>
      </c>
      <c r="D18" s="156">
        <v>10.3</v>
      </c>
      <c r="E18" s="156">
        <v>25.1</v>
      </c>
      <c r="F18" s="156">
        <v>158.7</v>
      </c>
      <c r="G18" s="156">
        <v>52.7</v>
      </c>
      <c r="H18" s="156">
        <v>21</v>
      </c>
      <c r="I18" s="156">
        <v>1.2</v>
      </c>
      <c r="J18" s="156">
        <v>16.6</v>
      </c>
      <c r="K18" s="156">
        <v>12</v>
      </c>
      <c r="L18" s="156">
        <v>8</v>
      </c>
      <c r="M18" s="156">
        <v>9</v>
      </c>
      <c r="N18" s="156">
        <v>3.2</v>
      </c>
      <c r="O18" s="156">
        <v>2.6</v>
      </c>
    </row>
    <row r="19" spans="1:15" ht="12.75">
      <c r="A19" s="156" t="s">
        <v>51</v>
      </c>
      <c r="B19" s="156" t="s">
        <v>52</v>
      </c>
      <c r="C19" s="156">
        <v>60</v>
      </c>
      <c r="D19" s="156">
        <v>53</v>
      </c>
      <c r="E19" s="156">
        <v>161</v>
      </c>
      <c r="F19" s="156">
        <v>232</v>
      </c>
      <c r="G19" s="156">
        <v>197</v>
      </c>
      <c r="H19" s="156">
        <v>214</v>
      </c>
      <c r="I19" s="156">
        <v>26</v>
      </c>
      <c r="J19" s="156">
        <v>20</v>
      </c>
      <c r="K19" s="156">
        <v>0</v>
      </c>
      <c r="L19" s="156">
        <v>300</v>
      </c>
      <c r="M19" s="156">
        <v>5.5</v>
      </c>
      <c r="N19" s="156">
        <v>7.36</v>
      </c>
      <c r="O19" s="156">
        <v>3.8</v>
      </c>
    </row>
    <row r="20" spans="1:15" ht="12.75">
      <c r="A20" s="156" t="s">
        <v>53</v>
      </c>
      <c r="B20" s="156"/>
      <c r="C20" s="156">
        <v>47.2</v>
      </c>
      <c r="D20" s="156">
        <v>13.4</v>
      </c>
      <c r="E20" s="156">
        <v>81.3</v>
      </c>
      <c r="F20" s="156">
        <v>147.5</v>
      </c>
      <c r="G20" s="156">
        <v>61.9</v>
      </c>
      <c r="H20" s="156">
        <v>116.6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3.46</v>
      </c>
      <c r="O20" s="156">
        <v>2.42</v>
      </c>
    </row>
    <row r="21" spans="1:15" ht="12.75">
      <c r="A21" s="156" t="s">
        <v>54</v>
      </c>
      <c r="B21" s="156" t="s">
        <v>55</v>
      </c>
      <c r="C21" s="156">
        <v>167</v>
      </c>
      <c r="D21" s="156">
        <v>30.6</v>
      </c>
      <c r="E21" s="156">
        <v>67.6</v>
      </c>
      <c r="F21" s="156">
        <v>400</v>
      </c>
      <c r="G21" s="156">
        <v>282</v>
      </c>
      <c r="H21" s="156">
        <v>47</v>
      </c>
      <c r="I21" s="156">
        <v>0</v>
      </c>
      <c r="J21" s="156">
        <v>4.1</v>
      </c>
      <c r="K21" s="156">
        <v>0</v>
      </c>
      <c r="L21" s="156">
        <v>0</v>
      </c>
      <c r="M21" s="156">
        <v>0</v>
      </c>
      <c r="N21" s="156">
        <v>10.7</v>
      </c>
      <c r="O21" s="156">
        <v>6.6</v>
      </c>
    </row>
    <row r="22" spans="1:15" ht="12.75">
      <c r="A22" s="156" t="s">
        <v>56</v>
      </c>
      <c r="B22" s="156" t="s">
        <v>57</v>
      </c>
      <c r="C22" s="156">
        <v>56</v>
      </c>
      <c r="D22" s="156">
        <v>22.8</v>
      </c>
      <c r="E22" s="156">
        <v>39.6</v>
      </c>
      <c r="F22" s="156">
        <v>85.5</v>
      </c>
      <c r="G22" s="156">
        <v>214</v>
      </c>
      <c r="H22" s="156">
        <v>19</v>
      </c>
      <c r="I22" s="156">
        <v>0</v>
      </c>
      <c r="J22" s="156">
        <v>6</v>
      </c>
      <c r="K22" s="156">
        <v>30.5</v>
      </c>
      <c r="L22" s="156">
        <v>44</v>
      </c>
      <c r="M22" s="156">
        <v>8.6</v>
      </c>
      <c r="N22" s="156">
        <v>4.67</v>
      </c>
      <c r="O22" s="156">
        <v>1.4</v>
      </c>
    </row>
    <row r="23" spans="1:15" ht="12.75">
      <c r="A23" s="156" t="s">
        <v>58</v>
      </c>
      <c r="B23" s="156" t="s">
        <v>59</v>
      </c>
      <c r="C23" s="156">
        <v>60</v>
      </c>
      <c r="D23" s="156">
        <v>15.8</v>
      </c>
      <c r="E23" s="156">
        <v>0</v>
      </c>
      <c r="F23" s="156">
        <v>201</v>
      </c>
      <c r="G23" s="156">
        <v>13.5</v>
      </c>
      <c r="H23" s="156">
        <v>25.5</v>
      </c>
      <c r="I23" s="156">
        <v>0</v>
      </c>
      <c r="J23" s="156">
        <v>10</v>
      </c>
      <c r="K23" s="156">
        <v>0.4</v>
      </c>
      <c r="L23" s="156">
        <v>0</v>
      </c>
      <c r="M23" s="156">
        <v>8.3</v>
      </c>
      <c r="N23" s="156">
        <v>4.3</v>
      </c>
      <c r="O23" s="156">
        <v>3.3</v>
      </c>
    </row>
    <row r="24" spans="1:15" ht="12.75">
      <c r="A24" s="156" t="s">
        <v>60</v>
      </c>
      <c r="B24" s="156" t="s">
        <v>61</v>
      </c>
      <c r="C24" s="156">
        <v>24.3</v>
      </c>
      <c r="D24" s="156">
        <v>11.2</v>
      </c>
      <c r="E24" s="156">
        <v>4.6</v>
      </c>
      <c r="F24" s="156">
        <v>115</v>
      </c>
      <c r="G24" s="156">
        <v>14</v>
      </c>
      <c r="H24" s="156">
        <v>4.6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2.14</v>
      </c>
      <c r="O24" s="156">
        <v>1.9</v>
      </c>
    </row>
    <row r="25" spans="1:15" ht="12.75">
      <c r="A25" s="156" t="s">
        <v>62</v>
      </c>
      <c r="B25" s="156" t="s">
        <v>63</v>
      </c>
      <c r="C25" s="156">
        <v>9</v>
      </c>
      <c r="D25" s="156">
        <v>1.2</v>
      </c>
      <c r="E25" s="156">
        <v>2.7</v>
      </c>
      <c r="F25" s="156">
        <v>26.2</v>
      </c>
      <c r="G25" s="156">
        <v>6.1</v>
      </c>
      <c r="H25" s="156">
        <v>3.9</v>
      </c>
      <c r="I25" s="156">
        <v>0</v>
      </c>
      <c r="J25" s="156">
        <v>5.9</v>
      </c>
      <c r="K25" s="156">
        <v>0.3</v>
      </c>
      <c r="L25" s="156">
        <v>0</v>
      </c>
      <c r="M25" s="156">
        <v>7.6</v>
      </c>
      <c r="N25" s="156">
        <v>0.55</v>
      </c>
      <c r="O25" s="156">
        <v>0.43</v>
      </c>
    </row>
    <row r="26" spans="1:15" ht="12.75">
      <c r="A26" s="156" t="s">
        <v>64</v>
      </c>
      <c r="B26" s="156" t="s">
        <v>65</v>
      </c>
      <c r="C26" s="156">
        <v>56.4</v>
      </c>
      <c r="D26" s="156">
        <v>16.8</v>
      </c>
      <c r="E26" s="156">
        <v>10.4</v>
      </c>
      <c r="F26" s="156">
        <v>251.1</v>
      </c>
      <c r="G26" s="156">
        <v>8.9</v>
      </c>
      <c r="H26" s="156">
        <v>13</v>
      </c>
      <c r="I26" s="156">
        <v>0.1</v>
      </c>
      <c r="J26" s="156">
        <v>2.2</v>
      </c>
      <c r="K26" s="156">
        <v>0.5</v>
      </c>
      <c r="L26" s="156">
        <v>18</v>
      </c>
      <c r="M26" s="156">
        <v>5</v>
      </c>
      <c r="N26" s="156">
        <v>4.2</v>
      </c>
      <c r="O26" s="156">
        <v>4.1</v>
      </c>
    </row>
    <row r="27" spans="1:15" ht="12.75">
      <c r="A27" s="156" t="s">
        <v>66</v>
      </c>
      <c r="B27" s="156" t="s">
        <v>67</v>
      </c>
      <c r="C27" s="156">
        <v>49.2</v>
      </c>
      <c r="D27" s="156">
        <v>9.4</v>
      </c>
      <c r="E27" s="156">
        <v>0.7</v>
      </c>
      <c r="F27" s="156">
        <v>74</v>
      </c>
      <c r="G27" s="156">
        <v>91.2</v>
      </c>
      <c r="H27" s="156">
        <v>5.2</v>
      </c>
      <c r="I27" s="156">
        <v>0.1</v>
      </c>
      <c r="J27" s="156">
        <v>12.5</v>
      </c>
      <c r="K27" s="156">
        <v>0.1</v>
      </c>
      <c r="L27" s="156">
        <v>405</v>
      </c>
      <c r="M27" s="156">
        <v>2.9</v>
      </c>
      <c r="N27" s="156">
        <v>3.23</v>
      </c>
      <c r="O27" s="156">
        <v>1.21</v>
      </c>
    </row>
    <row r="28" spans="1:15" ht="12.75">
      <c r="A28" s="156" t="s">
        <v>68</v>
      </c>
      <c r="B28" s="156" t="s">
        <v>69</v>
      </c>
      <c r="C28" s="156">
        <v>91.8</v>
      </c>
      <c r="D28" s="156">
        <v>16.8</v>
      </c>
      <c r="E28" s="156">
        <v>7.8</v>
      </c>
      <c r="F28" s="156">
        <v>244</v>
      </c>
      <c r="G28" s="156">
        <v>81</v>
      </c>
      <c r="H28" s="156">
        <v>22</v>
      </c>
      <c r="I28" s="156">
        <v>0</v>
      </c>
      <c r="J28" s="156">
        <v>17.8</v>
      </c>
      <c r="K28" s="156">
        <v>0.4</v>
      </c>
      <c r="L28" s="156">
        <v>62.4</v>
      </c>
      <c r="M28" s="156">
        <v>13.6</v>
      </c>
      <c r="N28" s="156">
        <v>5.97</v>
      </c>
      <c r="O28" s="156">
        <v>4</v>
      </c>
    </row>
    <row r="29" spans="1:15" ht="12.75">
      <c r="A29" s="156" t="s">
        <v>70</v>
      </c>
      <c r="B29" s="156" t="s">
        <v>71</v>
      </c>
      <c r="C29" s="156">
        <v>12.2</v>
      </c>
      <c r="D29" s="156">
        <v>3.5</v>
      </c>
      <c r="E29" s="156">
        <v>2.6</v>
      </c>
      <c r="F29" s="156">
        <v>47</v>
      </c>
      <c r="G29" s="156">
        <v>5.8</v>
      </c>
      <c r="H29" s="156">
        <v>4</v>
      </c>
      <c r="I29" s="156">
        <v>0</v>
      </c>
      <c r="J29" s="156">
        <v>7.6</v>
      </c>
      <c r="K29" s="156">
        <v>0.5</v>
      </c>
      <c r="L29" s="156">
        <v>0</v>
      </c>
      <c r="M29" s="156">
        <v>16</v>
      </c>
      <c r="N29" s="156">
        <v>0.9</v>
      </c>
      <c r="O29" s="156">
        <v>0.78</v>
      </c>
    </row>
    <row r="30" spans="1:15" ht="12.75">
      <c r="A30" s="156" t="s">
        <v>72</v>
      </c>
      <c r="B30" s="156" t="s">
        <v>73</v>
      </c>
      <c r="C30" s="156">
        <v>93</v>
      </c>
      <c r="D30" s="156">
        <v>43.5</v>
      </c>
      <c r="E30" s="156">
        <v>243.1</v>
      </c>
      <c r="F30" s="156">
        <v>228.2</v>
      </c>
      <c r="G30" s="156">
        <v>294.6</v>
      </c>
      <c r="H30" s="156">
        <v>300.7</v>
      </c>
      <c r="I30" s="156">
        <v>0</v>
      </c>
      <c r="J30" s="156">
        <v>0</v>
      </c>
      <c r="K30" s="156">
        <v>0</v>
      </c>
      <c r="L30" s="156">
        <v>18</v>
      </c>
      <c r="M30" s="156">
        <v>0</v>
      </c>
      <c r="N30" s="156">
        <v>8.22</v>
      </c>
      <c r="O30" s="156">
        <v>3.75</v>
      </c>
    </row>
    <row r="31" spans="1:15" ht="12.75">
      <c r="A31" s="156" t="s">
        <v>74</v>
      </c>
      <c r="B31" s="156" t="s">
        <v>75</v>
      </c>
      <c r="C31" s="156">
        <v>23.4</v>
      </c>
      <c r="D31" s="156">
        <v>5.2</v>
      </c>
      <c r="E31" s="156">
        <v>0</v>
      </c>
      <c r="F31" s="156">
        <v>58.3</v>
      </c>
      <c r="G31" s="156">
        <v>20.5</v>
      </c>
      <c r="H31" s="156">
        <v>8.8</v>
      </c>
      <c r="I31" s="156">
        <v>0</v>
      </c>
      <c r="J31" s="156">
        <v>19.2</v>
      </c>
      <c r="K31" s="156">
        <v>10.5</v>
      </c>
      <c r="L31" s="156">
        <v>753</v>
      </c>
      <c r="M31" s="156">
        <v>5.8</v>
      </c>
      <c r="N31" s="156">
        <v>1.6</v>
      </c>
      <c r="O31" s="156">
        <v>0.96</v>
      </c>
    </row>
    <row r="32" spans="1:15" ht="12.75">
      <c r="A32" s="156" t="s">
        <v>76</v>
      </c>
      <c r="B32" s="156" t="s">
        <v>77</v>
      </c>
      <c r="C32" s="156">
        <v>108.2</v>
      </c>
      <c r="D32" s="156">
        <v>9.7</v>
      </c>
      <c r="E32" s="156">
        <v>107.3</v>
      </c>
      <c r="F32" s="156">
        <v>234.2</v>
      </c>
      <c r="G32" s="156">
        <v>107</v>
      </c>
      <c r="H32" s="156">
        <v>170</v>
      </c>
      <c r="I32" s="156">
        <v>0</v>
      </c>
      <c r="J32" s="156">
        <v>9.1</v>
      </c>
      <c r="K32" s="156">
        <v>0</v>
      </c>
      <c r="L32" s="156">
        <v>34</v>
      </c>
      <c r="M32" s="156">
        <v>5.2</v>
      </c>
      <c r="N32" s="156">
        <v>6.2</v>
      </c>
      <c r="O32" s="156">
        <v>3.84</v>
      </c>
    </row>
    <row r="33" spans="1:15" ht="12.75">
      <c r="A33" s="156" t="s">
        <v>78</v>
      </c>
      <c r="B33" s="156" t="s">
        <v>79</v>
      </c>
      <c r="C33" s="156">
        <v>100</v>
      </c>
      <c r="D33" s="156">
        <v>23.1</v>
      </c>
      <c r="E33" s="156">
        <v>20.3</v>
      </c>
      <c r="F33" s="156">
        <v>275</v>
      </c>
      <c r="G33" s="156">
        <v>95</v>
      </c>
      <c r="H33" s="156">
        <v>40</v>
      </c>
      <c r="I33" s="156">
        <v>10</v>
      </c>
      <c r="J33" s="156">
        <v>28</v>
      </c>
      <c r="K33" s="156">
        <v>0.6</v>
      </c>
      <c r="L33" s="156">
        <v>25</v>
      </c>
      <c r="M33" s="156">
        <v>5.7</v>
      </c>
      <c r="N33" s="156">
        <v>6.9</v>
      </c>
      <c r="O33" s="156">
        <v>4.5</v>
      </c>
    </row>
    <row r="34" spans="1:15" ht="12.75">
      <c r="A34" s="156" t="s">
        <v>80</v>
      </c>
      <c r="B34" s="156" t="s">
        <v>81</v>
      </c>
      <c r="C34" s="156">
        <v>61.6</v>
      </c>
      <c r="D34" s="156">
        <v>15.8</v>
      </c>
      <c r="E34" s="156">
        <v>2.3</v>
      </c>
      <c r="F34" s="156">
        <v>128.1</v>
      </c>
      <c r="G34" s="156">
        <v>97.7</v>
      </c>
      <c r="H34" s="156">
        <v>2.4</v>
      </c>
      <c r="I34" s="156">
        <v>0</v>
      </c>
      <c r="J34" s="156">
        <v>6.7</v>
      </c>
      <c r="K34" s="156">
        <v>0.5</v>
      </c>
      <c r="L34" s="156">
        <v>10.4</v>
      </c>
      <c r="M34" s="156">
        <v>12.1</v>
      </c>
      <c r="N34" s="156">
        <v>4.1</v>
      </c>
      <c r="O34" s="156">
        <v>2.1</v>
      </c>
    </row>
    <row r="35" spans="1:15" ht="12.75">
      <c r="A35" s="156" t="s">
        <v>82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1:15" ht="12.75">
      <c r="A36" s="156" t="s">
        <v>83</v>
      </c>
      <c r="B36" s="156" t="s">
        <v>84</v>
      </c>
      <c r="C36" s="156">
        <v>110</v>
      </c>
      <c r="D36" s="156">
        <v>48.6</v>
      </c>
      <c r="E36" s="156">
        <v>154</v>
      </c>
      <c r="F36" s="156">
        <v>244</v>
      </c>
      <c r="G36" s="156">
        <v>488</v>
      </c>
      <c r="H36" s="156">
        <v>67</v>
      </c>
      <c r="I36" s="156">
        <v>6</v>
      </c>
      <c r="J36" s="156">
        <v>2.1</v>
      </c>
      <c r="K36" s="156">
        <v>0.1</v>
      </c>
      <c r="L36" s="156">
        <v>0</v>
      </c>
      <c r="M36" s="156">
        <v>3.6</v>
      </c>
      <c r="N36" s="156">
        <v>9.5</v>
      </c>
      <c r="O36" s="156">
        <v>4</v>
      </c>
    </row>
    <row r="37" spans="1:15" ht="12.75">
      <c r="A37" s="156" t="s">
        <v>85</v>
      </c>
      <c r="B37" s="156" t="s">
        <v>86</v>
      </c>
      <c r="C37" s="156">
        <v>102.2</v>
      </c>
      <c r="D37" s="156">
        <v>71.6</v>
      </c>
      <c r="E37" s="156">
        <v>215</v>
      </c>
      <c r="F37" s="156">
        <v>225.7</v>
      </c>
      <c r="G37" s="156">
        <v>528</v>
      </c>
      <c r="H37" s="156">
        <v>201</v>
      </c>
      <c r="I37" s="156">
        <v>0.3</v>
      </c>
      <c r="J37" s="156">
        <v>7.7</v>
      </c>
      <c r="K37" s="156">
        <v>0.2</v>
      </c>
      <c r="L37" s="156">
        <v>0</v>
      </c>
      <c r="M37" s="156">
        <v>7.6</v>
      </c>
      <c r="N37" s="156">
        <v>11</v>
      </c>
      <c r="O37" s="156">
        <v>4.1</v>
      </c>
    </row>
    <row r="38" spans="1:15" ht="12.75">
      <c r="A38" s="156" t="s">
        <v>87</v>
      </c>
      <c r="B38" s="156" t="s">
        <v>88</v>
      </c>
      <c r="C38" s="156">
        <v>240</v>
      </c>
      <c r="D38" s="156">
        <v>170.6</v>
      </c>
      <c r="E38" s="156">
        <v>668</v>
      </c>
      <c r="F38" s="156">
        <v>213</v>
      </c>
      <c r="G38" s="156">
        <v>1516</v>
      </c>
      <c r="H38" s="156">
        <v>684</v>
      </c>
      <c r="I38" s="156">
        <v>0</v>
      </c>
      <c r="J38" s="156">
        <v>2.7</v>
      </c>
      <c r="K38" s="156">
        <v>0</v>
      </c>
      <c r="L38" s="156">
        <v>0</v>
      </c>
      <c r="M38" s="156">
        <v>4.5</v>
      </c>
      <c r="N38" s="156">
        <v>26.1</v>
      </c>
      <c r="O38" s="156">
        <v>3.5</v>
      </c>
    </row>
    <row r="39" spans="1:15" ht="12.75">
      <c r="A39" s="156" t="s">
        <v>89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15" ht="12.75">
      <c r="A40" s="156" t="s">
        <v>90</v>
      </c>
      <c r="B40" s="156" t="s">
        <v>91</v>
      </c>
      <c r="C40" s="156">
        <v>84.1</v>
      </c>
      <c r="D40" s="156">
        <v>50.5</v>
      </c>
      <c r="E40" s="156">
        <v>246</v>
      </c>
      <c r="F40" s="156">
        <v>201</v>
      </c>
      <c r="G40" s="156">
        <v>646</v>
      </c>
      <c r="H40" s="156">
        <v>82</v>
      </c>
      <c r="I40" s="156">
        <v>0</v>
      </c>
      <c r="J40" s="156">
        <v>5.6</v>
      </c>
      <c r="K40" s="156">
        <v>0</v>
      </c>
      <c r="L40" s="156">
        <v>0</v>
      </c>
      <c r="M40" s="156">
        <v>24</v>
      </c>
      <c r="N40" s="156">
        <v>8.35</v>
      </c>
      <c r="O40" s="156">
        <v>3.3</v>
      </c>
    </row>
    <row r="41" spans="1:15" ht="12.75">
      <c r="A41" s="156" t="s">
        <v>92</v>
      </c>
      <c r="B41" s="156" t="s">
        <v>93</v>
      </c>
      <c r="C41" s="156">
        <v>56.9</v>
      </c>
      <c r="D41" s="156">
        <v>6</v>
      </c>
      <c r="E41" s="156">
        <v>5.1</v>
      </c>
      <c r="F41" s="156">
        <v>164.5</v>
      </c>
      <c r="G41" s="156">
        <v>35.3</v>
      </c>
      <c r="H41" s="156">
        <v>4.5</v>
      </c>
      <c r="I41" s="156">
        <v>0</v>
      </c>
      <c r="J41" s="156">
        <v>6.3</v>
      </c>
      <c r="K41" s="156">
        <v>0</v>
      </c>
      <c r="L41" s="156">
        <v>0</v>
      </c>
      <c r="M41" s="156">
        <v>4.9</v>
      </c>
      <c r="N41" s="156">
        <v>3.34</v>
      </c>
      <c r="O41" s="156">
        <v>2.7</v>
      </c>
    </row>
    <row r="42" spans="1:15" ht="12.75">
      <c r="A42" s="156" t="s">
        <v>94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1:15" ht="12.75">
      <c r="A43" s="156" t="s">
        <v>95</v>
      </c>
      <c r="B43" s="156"/>
      <c r="C43" s="156">
        <v>21.3</v>
      </c>
      <c r="D43" s="156">
        <v>4.3</v>
      </c>
      <c r="E43" s="156">
        <v>0.3</v>
      </c>
      <c r="F43" s="156">
        <v>68.3</v>
      </c>
      <c r="G43" s="156">
        <v>6.4</v>
      </c>
      <c r="H43" s="156">
        <v>3.5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1.43</v>
      </c>
      <c r="O43" s="156">
        <v>1.12</v>
      </c>
    </row>
    <row r="44" spans="1:15" ht="12.75">
      <c r="A44" s="156" t="s">
        <v>96</v>
      </c>
      <c r="B44" s="156"/>
      <c r="C44" s="156">
        <v>38.7</v>
      </c>
      <c r="D44" s="156">
        <v>106</v>
      </c>
      <c r="E44" s="156">
        <v>331</v>
      </c>
      <c r="F44" s="156">
        <v>194</v>
      </c>
      <c r="G44" s="156">
        <v>572</v>
      </c>
      <c r="H44" s="156">
        <v>345</v>
      </c>
      <c r="I44" s="156">
        <v>0</v>
      </c>
      <c r="J44" s="156">
        <v>10.1</v>
      </c>
      <c r="K44" s="156">
        <v>0</v>
      </c>
      <c r="L44" s="156">
        <v>0</v>
      </c>
      <c r="M44" s="156">
        <v>0</v>
      </c>
      <c r="N44" s="156">
        <v>10.7</v>
      </c>
      <c r="O44" s="156">
        <v>3.17</v>
      </c>
    </row>
    <row r="45" spans="1:15" ht="12.75">
      <c r="A45" s="156" t="s">
        <v>97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1:15" ht="12.75">
      <c r="A46" s="156" t="s">
        <v>98</v>
      </c>
      <c r="B46" s="156"/>
      <c r="C46" s="156">
        <v>246</v>
      </c>
      <c r="D46" s="156">
        <v>648</v>
      </c>
      <c r="E46" s="156">
        <v>5530</v>
      </c>
      <c r="F46" s="156">
        <v>81</v>
      </c>
      <c r="G46" s="156">
        <v>1305</v>
      </c>
      <c r="H46" s="156">
        <v>9626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65.6</v>
      </c>
      <c r="O46" s="156">
        <v>0</v>
      </c>
    </row>
    <row r="47" spans="1:15" ht="12.75">
      <c r="A47" s="156" t="s">
        <v>99</v>
      </c>
      <c r="B47" s="156"/>
      <c r="C47" s="156">
        <v>381</v>
      </c>
      <c r="D47" s="156">
        <v>764</v>
      </c>
      <c r="E47" s="156">
        <v>3274</v>
      </c>
      <c r="F47" s="156">
        <v>105</v>
      </c>
      <c r="G47" s="156">
        <v>3013</v>
      </c>
      <c r="H47" s="156">
        <v>5407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66.5</v>
      </c>
      <c r="O47" s="156">
        <v>0</v>
      </c>
    </row>
    <row r="48" spans="1:15" ht="12.75">
      <c r="A48" s="156" t="s">
        <v>100</v>
      </c>
      <c r="B48" s="156"/>
      <c r="C48" s="156">
        <v>418</v>
      </c>
      <c r="D48" s="156">
        <v>1329</v>
      </c>
      <c r="E48" s="156">
        <v>11030</v>
      </c>
      <c r="F48" s="156">
        <v>146</v>
      </c>
      <c r="G48" s="156">
        <v>2767</v>
      </c>
      <c r="H48" s="156">
        <v>19833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131.3</v>
      </c>
      <c r="O48" s="156"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printOptions gridLines="1"/>
  <pageMargins left="0.75" right="0.75" top="1" bottom="1" header="0.5" footer="0.5"/>
  <pageSetup fitToWidth="2" fitToHeight="1" horizontalDpi="240" verticalDpi="240" orientation="landscape" paperSize="9" scale="70" r:id="rId2"/>
  <headerFooter alignWithMargins="0">
    <oddHeader>&amp;C&amp;A</oddHeader>
    <oddFooter>&amp;CСтр.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41"/>
  <sheetViews>
    <sheetView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9" sqref="A29:IV29"/>
    </sheetView>
  </sheetViews>
  <sheetFormatPr defaultColWidth="0" defaultRowHeight="12.75" zeroHeight="1"/>
  <cols>
    <col min="1" max="1" width="3.00390625" style="106" customWidth="1"/>
    <col min="2" max="2" width="21.125" style="105" customWidth="1"/>
    <col min="3" max="3" width="11.75390625" style="105" customWidth="1"/>
    <col min="4" max="4" width="6.25390625" style="106" customWidth="1"/>
    <col min="5" max="5" width="9.875" style="106" customWidth="1"/>
    <col min="6" max="6" width="9.75390625" style="106" customWidth="1"/>
    <col min="7" max="16384" width="0" style="105" hidden="1" customWidth="1"/>
  </cols>
  <sheetData>
    <row r="1" spans="1:6" s="103" customFormat="1" ht="18">
      <c r="A1" s="104"/>
      <c r="B1" s="103" t="s">
        <v>101</v>
      </c>
      <c r="D1" s="104"/>
      <c r="E1" s="104"/>
      <c r="F1" s="104"/>
    </row>
    <row r="2" spans="1:6" s="103" customFormat="1" ht="18">
      <c r="A2" s="104"/>
      <c r="D2" s="104"/>
      <c r="E2" s="104"/>
      <c r="F2" s="104"/>
    </row>
    <row r="3" spans="1:6" s="103" customFormat="1" ht="18">
      <c r="A3" s="104"/>
      <c r="B3" s="103" t="s">
        <v>102</v>
      </c>
      <c r="D3" s="104"/>
      <c r="E3" s="104" t="s">
        <v>58</v>
      </c>
      <c r="F3" s="104"/>
    </row>
    <row r="4" spans="1:6" s="103" customFormat="1" ht="18">
      <c r="A4" s="104"/>
      <c r="B4" s="103" t="s">
        <v>103</v>
      </c>
      <c r="D4" s="104"/>
      <c r="E4" s="104" t="s">
        <v>59</v>
      </c>
      <c r="F4" s="104"/>
    </row>
    <row r="5" ht="13.5" thickBot="1"/>
    <row r="6" spans="1:6" s="110" customFormat="1" ht="16.5" thickBot="1">
      <c r="A6" s="144"/>
      <c r="B6" s="107" t="s">
        <v>104</v>
      </c>
      <c r="C6" s="142" t="s">
        <v>105</v>
      </c>
      <c r="D6" s="108" t="s">
        <v>106</v>
      </c>
      <c r="E6" s="143" t="s">
        <v>107</v>
      </c>
      <c r="F6" s="109" t="s">
        <v>108</v>
      </c>
    </row>
    <row r="7" spans="1:6" ht="21">
      <c r="A7" s="145">
        <v>1</v>
      </c>
      <c r="B7" s="152" t="s">
        <v>109</v>
      </c>
      <c r="C7" s="111"/>
      <c r="D7" s="158">
        <v>0</v>
      </c>
      <c r="E7" s="112">
        <v>23</v>
      </c>
      <c r="F7" s="113">
        <f>D7/E7</f>
        <v>0</v>
      </c>
    </row>
    <row r="8" spans="1:6" ht="21">
      <c r="A8" s="145">
        <v>2</v>
      </c>
      <c r="B8" s="152" t="s">
        <v>110</v>
      </c>
      <c r="C8" s="111"/>
      <c r="D8" s="100">
        <v>0</v>
      </c>
      <c r="E8" s="112">
        <v>39</v>
      </c>
      <c r="F8" s="114">
        <f>D8/E8</f>
        <v>0</v>
      </c>
    </row>
    <row r="9" spans="1:6" ht="21">
      <c r="A9" s="145">
        <v>3</v>
      </c>
      <c r="B9" s="152" t="s">
        <v>111</v>
      </c>
      <c r="C9" s="111"/>
      <c r="D9" s="158">
        <v>60</v>
      </c>
      <c r="E9" s="112">
        <v>20</v>
      </c>
      <c r="F9" s="114">
        <f>D9/20</f>
        <v>3</v>
      </c>
    </row>
    <row r="10" spans="1:6" ht="21">
      <c r="A10" s="145">
        <v>4</v>
      </c>
      <c r="B10" s="152" t="s">
        <v>112</v>
      </c>
      <c r="C10" s="111"/>
      <c r="D10" s="158">
        <v>15.8</v>
      </c>
      <c r="E10" s="112">
        <v>12</v>
      </c>
      <c r="F10" s="114">
        <f>D10/E10</f>
        <v>1.3166666666666667</v>
      </c>
    </row>
    <row r="11" spans="1:6" ht="21">
      <c r="A11" s="145">
        <v>5</v>
      </c>
      <c r="B11" s="152" t="s">
        <v>113</v>
      </c>
      <c r="C11" s="111"/>
      <c r="D11" s="158">
        <v>25.5</v>
      </c>
      <c r="E11" s="112">
        <v>35.5</v>
      </c>
      <c r="F11" s="114">
        <f>D11/E11</f>
        <v>0.7183098591549296</v>
      </c>
    </row>
    <row r="12" spans="1:6" ht="22.5">
      <c r="A12" s="145">
        <v>6</v>
      </c>
      <c r="B12" s="152" t="s">
        <v>114</v>
      </c>
      <c r="C12" s="111"/>
      <c r="D12" s="158">
        <v>13.5</v>
      </c>
      <c r="E12" s="112">
        <v>48</v>
      </c>
      <c r="F12" s="114">
        <f>D12/E12</f>
        <v>0.28125</v>
      </c>
    </row>
    <row r="13" spans="1:6" ht="22.5">
      <c r="A13" s="145">
        <v>7</v>
      </c>
      <c r="B13" s="152" t="s">
        <v>115</v>
      </c>
      <c r="C13" s="111"/>
      <c r="D13" s="158">
        <v>201</v>
      </c>
      <c r="E13" s="112">
        <v>61</v>
      </c>
      <c r="F13" s="114">
        <f>D13/E13</f>
        <v>3.2950819672131146</v>
      </c>
    </row>
    <row r="14" spans="1:6" ht="22.5">
      <c r="A14" s="145">
        <v>8</v>
      </c>
      <c r="B14" s="152" t="s">
        <v>116</v>
      </c>
      <c r="C14" s="111"/>
      <c r="D14" s="158">
        <v>0</v>
      </c>
      <c r="E14" s="112">
        <v>62</v>
      </c>
      <c r="F14" s="114">
        <f>D14/E14</f>
        <v>0</v>
      </c>
    </row>
    <row r="15" spans="1:6" ht="18">
      <c r="A15" s="145">
        <v>9</v>
      </c>
      <c r="B15" s="152" t="s">
        <v>117</v>
      </c>
      <c r="C15" s="111"/>
      <c r="D15" s="158">
        <v>10</v>
      </c>
      <c r="E15" s="112">
        <v>76</v>
      </c>
      <c r="F15" s="114"/>
    </row>
    <row r="16" spans="1:6" ht="21">
      <c r="A16" s="145">
        <v>10</v>
      </c>
      <c r="B16" s="152" t="s">
        <v>118</v>
      </c>
      <c r="C16" s="111"/>
      <c r="D16" s="237">
        <v>1</v>
      </c>
      <c r="E16" s="112">
        <v>44</v>
      </c>
      <c r="F16" s="125">
        <f>D16/E16</f>
        <v>0.022727272727272728</v>
      </c>
    </row>
    <row r="17" spans="1:6" ht="12.75">
      <c r="A17" s="145">
        <v>11</v>
      </c>
      <c r="B17" s="111" t="s">
        <v>119</v>
      </c>
      <c r="C17" s="111"/>
      <c r="D17" s="112"/>
      <c r="E17" s="112"/>
      <c r="F17" s="114">
        <f>SUM(F7:F10)</f>
        <v>4.316666666666666</v>
      </c>
    </row>
    <row r="18" spans="1:6" ht="12.75">
      <c r="A18" s="145">
        <v>12</v>
      </c>
      <c r="B18" s="111" t="s">
        <v>120</v>
      </c>
      <c r="C18" s="111"/>
      <c r="D18" s="112"/>
      <c r="E18" s="112"/>
      <c r="F18" s="114">
        <f>SUM(F11:F14)</f>
        <v>4.294641826368045</v>
      </c>
    </row>
    <row r="19" spans="1:6" ht="12.75">
      <c r="A19" s="145">
        <v>13</v>
      </c>
      <c r="B19" s="115" t="s">
        <v>121</v>
      </c>
      <c r="C19" s="111"/>
      <c r="D19" s="112"/>
      <c r="E19" s="112" t="str">
        <f>IF(ABS((F17-F18)/(F17+F18))&lt;=0.02,"соблюдается"," не соблюдается")</f>
        <v>соблюдается</v>
      </c>
      <c r="F19" s="116"/>
    </row>
    <row r="20" spans="1:6" ht="12.75">
      <c r="A20" s="145">
        <v>14</v>
      </c>
      <c r="B20" s="111" t="s">
        <v>122</v>
      </c>
      <c r="C20" s="111"/>
      <c r="D20" s="112"/>
      <c r="E20" s="112"/>
      <c r="F20" s="117">
        <f>ABS((F17-F18)/(F17+F18))</f>
        <v>0.0025576647633093986</v>
      </c>
    </row>
    <row r="21" spans="1:6" ht="12.75">
      <c r="A21" s="145">
        <v>15</v>
      </c>
      <c r="B21" s="111" t="s">
        <v>123</v>
      </c>
      <c r="C21" s="111"/>
      <c r="D21" s="112"/>
      <c r="E21" s="112"/>
      <c r="F21" s="113">
        <f>F9+F10</f>
        <v>4.316666666666666</v>
      </c>
    </row>
    <row r="22" spans="1:6" ht="12.75">
      <c r="A22" s="145">
        <v>16</v>
      </c>
      <c r="B22" s="111" t="s">
        <v>124</v>
      </c>
      <c r="C22" s="111"/>
      <c r="D22" s="112"/>
      <c r="E22" s="112"/>
      <c r="F22" s="113">
        <f>F13</f>
        <v>3.2950819672131146</v>
      </c>
    </row>
    <row r="23" spans="1:6" ht="12.75">
      <c r="A23" s="145">
        <v>17</v>
      </c>
      <c r="B23" s="111" t="s">
        <v>125</v>
      </c>
      <c r="C23" s="111"/>
      <c r="D23" s="112"/>
      <c r="E23" s="112"/>
      <c r="F23" s="113">
        <f>IF(F21&gt;F22,F22,F21)</f>
        <v>3.2950819672131146</v>
      </c>
    </row>
    <row r="24" spans="1:6" ht="12.75">
      <c r="A24" s="145">
        <v>18</v>
      </c>
      <c r="B24" s="111" t="s">
        <v>126</v>
      </c>
      <c r="C24" s="111"/>
      <c r="D24" s="112"/>
      <c r="E24" s="112"/>
      <c r="F24" s="113">
        <f>F21-F23</f>
        <v>1.0215846994535518</v>
      </c>
    </row>
    <row r="25" spans="1:6" ht="12.75">
      <c r="A25" s="145">
        <v>19</v>
      </c>
      <c r="B25" s="111" t="s">
        <v>127</v>
      </c>
      <c r="C25" s="111"/>
      <c r="D25" s="118">
        <f>SUM(D7:D14)</f>
        <v>315.8</v>
      </c>
      <c r="E25" s="112"/>
      <c r="F25" s="119"/>
    </row>
    <row r="26" spans="1:6" ht="15" customHeight="1">
      <c r="A26" s="145">
        <v>20</v>
      </c>
      <c r="B26" s="111" t="s">
        <v>128</v>
      </c>
      <c r="C26" s="111" t="str">
        <f>IF(D25&lt;1000,"пресная",IF(D25&lt;2500,"солоноватая",IF(D25&lt;50000,"морской солености","соленая")))</f>
        <v>пресная</v>
      </c>
      <c r="D26" s="112"/>
      <c r="E26" s="112"/>
      <c r="F26" s="116"/>
    </row>
    <row r="27" spans="1:6" ht="12.75">
      <c r="A27" s="145">
        <v>21</v>
      </c>
      <c r="B27" s="111" t="s">
        <v>129</v>
      </c>
      <c r="C27" s="111" t="str">
        <f>IF(AND(F11&gt;F12,F11&gt;F13,F11&gt;F14),"хлоридный",IF(AND(F12&gt;F11,F12&gt;F13,F12&gt;F14),"сульфатный",IF(AND(F13&gt;F11,F13&gt;F12,F13&gt;F14),"гидрокарбонатный","нитратный")))</f>
        <v>гидрокарбонатный</v>
      </c>
      <c r="D27" s="112"/>
      <c r="E27" s="112"/>
      <c r="F27" s="116"/>
    </row>
    <row r="28" spans="1:6" ht="13.5" thickBot="1">
      <c r="A28" s="146">
        <v>22</v>
      </c>
      <c r="B28" s="120" t="s">
        <v>130</v>
      </c>
      <c r="C28" s="120" t="str">
        <f>IF(AND(F7&gt;F8,F7&gt;F9,F7&gt;F10),"натриевая",IF(AND(F8&gt;F7,F8&gt;F9,F8&gt;F10),"калиевая",IF(AND(F9&gt;F7,F9&gt;F8,F9&gt;F10),"кальциевая","магниевая")))</f>
        <v>кальциевая</v>
      </c>
      <c r="D28" s="121"/>
      <c r="E28" s="121"/>
      <c r="F28" s="122"/>
    </row>
    <row r="29" spans="1:6" ht="12.75" hidden="1">
      <c r="A29" s="124"/>
      <c r="B29" s="123"/>
      <c r="C29" s="123"/>
      <c r="D29" s="124"/>
      <c r="E29" s="124"/>
      <c r="F29" s="124"/>
    </row>
    <row r="30" spans="1:6" ht="12.75" hidden="1">
      <c r="A30" s="124"/>
      <c r="B30" s="123"/>
      <c r="C30" s="123"/>
      <c r="D30" s="124"/>
      <c r="E30" s="124"/>
      <c r="F30" s="124"/>
    </row>
    <row r="31" spans="1:6" ht="12.75" hidden="1">
      <c r="A31" s="124"/>
      <c r="B31" s="123"/>
      <c r="C31" s="123"/>
      <c r="D31" s="124"/>
      <c r="E31" s="124"/>
      <c r="F31" s="124"/>
    </row>
    <row r="32" spans="1:6" ht="12.75" hidden="1">
      <c r="A32" s="124"/>
      <c r="B32" s="123"/>
      <c r="C32" s="123"/>
      <c r="D32" s="124"/>
      <c r="E32" s="124"/>
      <c r="F32" s="124"/>
    </row>
    <row r="33" spans="1:6" ht="12.75" hidden="1">
      <c r="A33" s="124"/>
      <c r="B33" s="123"/>
      <c r="C33" s="123"/>
      <c r="D33" s="124"/>
      <c r="E33" s="124"/>
      <c r="F33" s="124"/>
    </row>
    <row r="34" spans="1:6" ht="12.75" hidden="1">
      <c r="A34" s="124"/>
      <c r="B34" s="123"/>
      <c r="C34" s="123"/>
      <c r="D34" s="124"/>
      <c r="E34" s="124"/>
      <c r="F34" s="124"/>
    </row>
    <row r="35" spans="1:6" ht="12.75" hidden="1">
      <c r="A35" s="124"/>
      <c r="B35" s="123"/>
      <c r="C35" s="123"/>
      <c r="D35" s="124"/>
      <c r="E35" s="124"/>
      <c r="F35" s="124"/>
    </row>
    <row r="36" spans="1:6" ht="12.75" hidden="1">
      <c r="A36" s="124"/>
      <c r="B36" s="123"/>
      <c r="C36" s="123"/>
      <c r="D36" s="124"/>
      <c r="E36" s="124"/>
      <c r="F36" s="124"/>
    </row>
    <row r="37" spans="1:6" ht="12.75" hidden="1">
      <c r="A37" s="124"/>
      <c r="B37" s="123"/>
      <c r="C37" s="123"/>
      <c r="D37" s="124"/>
      <c r="E37" s="124"/>
      <c r="F37" s="124"/>
    </row>
    <row r="38" spans="1:6" ht="12.75" hidden="1">
      <c r="A38" s="124"/>
      <c r="B38" s="123"/>
      <c r="C38" s="123"/>
      <c r="D38" s="124"/>
      <c r="E38" s="124"/>
      <c r="F38" s="124"/>
    </row>
    <row r="39" spans="1:6" ht="12.75" hidden="1">
      <c r="A39" s="124"/>
      <c r="B39" s="123"/>
      <c r="C39" s="123"/>
      <c r="D39" s="124"/>
      <c r="E39" s="124"/>
      <c r="F39" s="124"/>
    </row>
    <row r="40" spans="1:6" ht="12.75" hidden="1">
      <c r="A40" s="124"/>
      <c r="B40" s="123"/>
      <c r="C40" s="123"/>
      <c r="D40" s="124"/>
      <c r="E40" s="124"/>
      <c r="F40" s="124"/>
    </row>
    <row r="41" spans="1:6" ht="12.75" hidden="1">
      <c r="A41" s="124"/>
      <c r="B41" s="123"/>
      <c r="C41" s="123"/>
      <c r="D41" s="124"/>
      <c r="E41" s="124"/>
      <c r="F41" s="124"/>
    </row>
  </sheetData>
  <sheetProtection/>
  <printOptions/>
  <pageMargins left="1.1811023622047245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L29"/>
  <sheetViews>
    <sheetView showGridLines="0" zoomScalePageLayoutView="0" workbookViewId="0" topLeftCell="A1">
      <pane xSplit="2" ySplit="4" topLeftCell="C5" activePane="bottomRight" state="frozen"/>
      <selection pane="topLeft" activeCell="J25" sqref="J25"/>
      <selection pane="topRight" activeCell="E1" sqref="E1"/>
      <selection pane="bottomLeft" activeCell="B10" sqref="B10"/>
      <selection pane="bottomRight" activeCell="J16" sqref="J16"/>
    </sheetView>
  </sheetViews>
  <sheetFormatPr defaultColWidth="0" defaultRowHeight="12.75" zeroHeight="1"/>
  <cols>
    <col min="1" max="1" width="3.00390625" style="6" customWidth="1"/>
    <col min="2" max="2" width="10.125" style="6" customWidth="1"/>
    <col min="3" max="3" width="15.00390625" style="6" customWidth="1"/>
    <col min="4" max="4" width="10.25390625" style="6" customWidth="1"/>
    <col min="5" max="5" width="9.25390625" style="6" customWidth="1"/>
    <col min="6" max="6" width="10.625" style="6" customWidth="1"/>
    <col min="7" max="7" width="10.00390625" style="6" customWidth="1"/>
    <col min="8" max="8" width="7.625" style="0" customWidth="1"/>
    <col min="9" max="9" width="7.625" style="6" customWidth="1"/>
    <col min="10" max="12" width="9.125" style="6" customWidth="1"/>
    <col min="13" max="16384" width="0" style="0" hidden="1" customWidth="1"/>
  </cols>
  <sheetData>
    <row r="1" spans="4:8" ht="27" customHeight="1">
      <c r="D1" s="17" t="s">
        <v>159</v>
      </c>
      <c r="E1" s="18"/>
      <c r="F1" s="18"/>
      <c r="G1" s="18"/>
      <c r="H1" s="19"/>
    </row>
    <row r="2" ht="13.5" thickBot="1"/>
    <row r="3" spans="1:12" ht="38.25">
      <c r="A3" s="82"/>
      <c r="B3" s="140" t="s">
        <v>160</v>
      </c>
      <c r="C3" s="139" t="s">
        <v>161</v>
      </c>
      <c r="D3" s="73" t="s">
        <v>162</v>
      </c>
      <c r="E3" s="87" t="s">
        <v>163</v>
      </c>
      <c r="F3" s="73" t="s">
        <v>164</v>
      </c>
      <c r="G3" s="93" t="s">
        <v>165</v>
      </c>
      <c r="H3" s="40" t="s">
        <v>166</v>
      </c>
      <c r="I3" s="82" t="s">
        <v>167</v>
      </c>
      <c r="J3" s="40" t="s">
        <v>168</v>
      </c>
      <c r="K3" s="82" t="s">
        <v>169</v>
      </c>
      <c r="L3" s="41" t="s">
        <v>170</v>
      </c>
    </row>
    <row r="4" spans="1:12" s="10" customFormat="1" ht="15.75" thickBot="1">
      <c r="A4" s="138" t="s">
        <v>171</v>
      </c>
      <c r="B4" s="141"/>
      <c r="C4" s="72"/>
      <c r="D4" s="98"/>
      <c r="E4" s="97"/>
      <c r="F4" s="98"/>
      <c r="G4" s="97"/>
      <c r="H4" s="98"/>
      <c r="I4" s="97"/>
      <c r="J4" s="98"/>
      <c r="K4" s="97"/>
      <c r="L4" s="99"/>
    </row>
    <row r="5" spans="1:12" ht="14.25">
      <c r="A5" s="83">
        <v>1</v>
      </c>
      <c r="B5" s="74" t="s">
        <v>172</v>
      </c>
      <c r="C5" s="83" t="s">
        <v>108</v>
      </c>
      <c r="D5" s="75">
        <f>'Исх.вода'!F7</f>
        <v>0</v>
      </c>
      <c r="E5" s="88">
        <v>0</v>
      </c>
      <c r="F5" s="149">
        <f>E5</f>
        <v>0</v>
      </c>
      <c r="G5" s="149">
        <f>F5</f>
        <v>0</v>
      </c>
      <c r="H5" s="174">
        <v>0.02</v>
      </c>
      <c r="I5" s="83">
        <f>H5</f>
        <v>0.02</v>
      </c>
      <c r="J5" s="174">
        <v>0</v>
      </c>
      <c r="K5" s="96">
        <f aca="true" t="shared" si="0" ref="K5:K13">J5</f>
        <v>0</v>
      </c>
      <c r="L5" s="78">
        <f>J5</f>
        <v>0</v>
      </c>
    </row>
    <row r="6" spans="1:12" ht="18">
      <c r="A6" s="83">
        <v>2</v>
      </c>
      <c r="B6" s="147" t="s">
        <v>173</v>
      </c>
      <c r="C6" s="83" t="s">
        <v>108</v>
      </c>
      <c r="D6" s="75">
        <f>'Исх.вода'!F8</f>
        <v>0</v>
      </c>
      <c r="E6" s="88">
        <v>0</v>
      </c>
      <c r="F6" s="88">
        <f>E6</f>
        <v>0</v>
      </c>
      <c r="G6" s="88">
        <f>F6</f>
        <v>0</v>
      </c>
      <c r="H6" s="174">
        <v>0</v>
      </c>
      <c r="I6" s="83">
        <f>H6</f>
        <v>0</v>
      </c>
      <c r="J6" s="174">
        <v>0</v>
      </c>
      <c r="K6" s="96">
        <f t="shared" si="0"/>
        <v>0</v>
      </c>
      <c r="L6" s="78">
        <f>J6</f>
        <v>0</v>
      </c>
    </row>
    <row r="7" spans="1:12" ht="18">
      <c r="A7" s="83">
        <v>3</v>
      </c>
      <c r="B7" s="147" t="s">
        <v>174</v>
      </c>
      <c r="C7" s="83" t="s">
        <v>108</v>
      </c>
      <c r="D7" s="75">
        <f>'Исх.вода'!F9</f>
        <v>3</v>
      </c>
      <c r="E7" s="88">
        <v>1.4815881007208556</v>
      </c>
      <c r="F7" s="88">
        <f>F9+F10+F11+F12+F15+F17-F5-F6-F8-F16</f>
        <v>1.9735811971082442</v>
      </c>
      <c r="G7" s="88">
        <f aca="true" t="shared" si="1" ref="G7:G17">F7</f>
        <v>1.9735811971082442</v>
      </c>
      <c r="H7" s="174">
        <v>0.01</v>
      </c>
      <c r="I7" s="83">
        <f>H7</f>
        <v>0.01</v>
      </c>
      <c r="J7" s="174">
        <v>0</v>
      </c>
      <c r="K7" s="96">
        <f t="shared" si="0"/>
        <v>0</v>
      </c>
      <c r="L7" s="78">
        <f>J7</f>
        <v>0</v>
      </c>
    </row>
    <row r="8" spans="1:12" ht="18">
      <c r="A8" s="83">
        <v>4</v>
      </c>
      <c r="B8" s="147" t="s">
        <v>175</v>
      </c>
      <c r="C8" s="83" t="s">
        <v>108</v>
      </c>
      <c r="D8" s="75">
        <f>'Исх.вода'!F10</f>
        <v>1.3166666666666667</v>
      </c>
      <c r="E8" s="88">
        <v>0.39212353896756247</v>
      </c>
      <c r="F8" s="88">
        <f>E8</f>
        <v>0.39212353896756247</v>
      </c>
      <c r="G8" s="88">
        <f t="shared" si="1"/>
        <v>0.39212353896756247</v>
      </c>
      <c r="H8" s="174">
        <v>0.01</v>
      </c>
      <c r="I8" s="83">
        <f>H8</f>
        <v>0.01</v>
      </c>
      <c r="J8" s="174">
        <v>0</v>
      </c>
      <c r="K8" s="96">
        <f t="shared" si="0"/>
        <v>0</v>
      </c>
      <c r="L8" s="78">
        <f>J8</f>
        <v>0</v>
      </c>
    </row>
    <row r="9" spans="1:12" ht="18">
      <c r="A9" s="83">
        <v>5</v>
      </c>
      <c r="B9" s="147" t="s">
        <v>176</v>
      </c>
      <c r="C9" s="83" t="s">
        <v>108</v>
      </c>
      <c r="D9" s="75">
        <f>'Исх.вода'!F11</f>
        <v>0.7183098591549296</v>
      </c>
      <c r="E9" s="88">
        <v>0.7183098591549296</v>
      </c>
      <c r="F9" s="88">
        <f>E9</f>
        <v>0.7183098591549296</v>
      </c>
      <c r="G9" s="88">
        <f t="shared" si="1"/>
        <v>0.7183098591549296</v>
      </c>
      <c r="H9" s="76">
        <f>G9</f>
        <v>0.7183098591549296</v>
      </c>
      <c r="I9" s="175">
        <v>0.03</v>
      </c>
      <c r="J9" s="45">
        <f aca="true" t="shared" si="2" ref="J9:J15">I9</f>
        <v>0.03</v>
      </c>
      <c r="K9" s="83">
        <f t="shared" si="0"/>
        <v>0.03</v>
      </c>
      <c r="L9" s="176">
        <v>0</v>
      </c>
    </row>
    <row r="10" spans="1:12" ht="20.25">
      <c r="A10" s="83">
        <v>6</v>
      </c>
      <c r="B10" s="147" t="s">
        <v>177</v>
      </c>
      <c r="C10" s="83" t="s">
        <v>108</v>
      </c>
      <c r="D10" s="75">
        <f>'Исх.вода'!F12</f>
        <v>0.28125</v>
      </c>
      <c r="E10" s="88">
        <v>0.78125</v>
      </c>
      <c r="F10" s="88">
        <f>E10</f>
        <v>0.78125</v>
      </c>
      <c r="G10" s="88">
        <f t="shared" si="1"/>
        <v>0.78125</v>
      </c>
      <c r="H10" s="76">
        <f>G10</f>
        <v>0.78125</v>
      </c>
      <c r="I10" s="175">
        <v>0.01</v>
      </c>
      <c r="J10" s="45">
        <f t="shared" si="2"/>
        <v>0.01</v>
      </c>
      <c r="K10" s="83">
        <f t="shared" si="0"/>
        <v>0.01</v>
      </c>
      <c r="L10" s="176">
        <v>0</v>
      </c>
    </row>
    <row r="11" spans="1:12" ht="20.25">
      <c r="A11" s="83">
        <v>7</v>
      </c>
      <c r="B11" s="147" t="s">
        <v>178</v>
      </c>
      <c r="C11" s="83" t="s">
        <v>108</v>
      </c>
      <c r="D11" s="75">
        <f>'Исх.вода'!F13</f>
        <v>3.2950819672131146</v>
      </c>
      <c r="E11" s="88">
        <v>0.008006903612611254</v>
      </c>
      <c r="F11" s="83">
        <f>IF(E11&lt;0.5,0.5,E11)</f>
        <v>0.5</v>
      </c>
      <c r="G11" s="83">
        <f t="shared" si="1"/>
        <v>0.5</v>
      </c>
      <c r="H11" s="77">
        <v>0</v>
      </c>
      <c r="I11" s="175">
        <v>0.01</v>
      </c>
      <c r="J11" s="45">
        <f t="shared" si="2"/>
        <v>0.01</v>
      </c>
      <c r="K11" s="83">
        <f t="shared" si="0"/>
        <v>0.01</v>
      </c>
      <c r="L11" s="176">
        <v>0</v>
      </c>
    </row>
    <row r="12" spans="1:12" ht="20.25">
      <c r="A12" s="83">
        <v>8</v>
      </c>
      <c r="B12" s="147" t="s">
        <v>179</v>
      </c>
      <c r="C12" s="83" t="s">
        <v>108</v>
      </c>
      <c r="D12" s="75">
        <f>'Исх.вода'!F14</f>
        <v>0</v>
      </c>
      <c r="E12" s="88">
        <v>0</v>
      </c>
      <c r="F12" s="88">
        <f aca="true" t="shared" si="3" ref="F12:F17">E12</f>
        <v>0</v>
      </c>
      <c r="G12" s="88">
        <f t="shared" si="1"/>
        <v>0</v>
      </c>
      <c r="H12" s="76">
        <f>G12</f>
        <v>0</v>
      </c>
      <c r="I12" s="175">
        <v>0.01</v>
      </c>
      <c r="J12" s="45">
        <f t="shared" si="2"/>
        <v>0.01</v>
      </c>
      <c r="K12" s="83">
        <f t="shared" si="0"/>
        <v>0.01</v>
      </c>
      <c r="L12" s="176">
        <v>0</v>
      </c>
    </row>
    <row r="13" spans="1:12" ht="19.5">
      <c r="A13" s="83">
        <v>9</v>
      </c>
      <c r="B13" s="147" t="s">
        <v>180</v>
      </c>
      <c r="C13" s="85" t="s">
        <v>106</v>
      </c>
      <c r="D13" s="75">
        <f>'Исх.вода'!D15</f>
        <v>10</v>
      </c>
      <c r="E13" s="88">
        <f>D13*0.7</f>
        <v>7</v>
      </c>
      <c r="F13" s="88">
        <f t="shared" si="3"/>
        <v>7</v>
      </c>
      <c r="G13" s="88">
        <f t="shared" si="1"/>
        <v>7</v>
      </c>
      <c r="H13" s="76">
        <f>G13</f>
        <v>7</v>
      </c>
      <c r="I13" s="88">
        <f>H13</f>
        <v>7</v>
      </c>
      <c r="J13" s="76">
        <f t="shared" si="2"/>
        <v>7</v>
      </c>
      <c r="K13" s="88">
        <f t="shared" si="0"/>
        <v>7</v>
      </c>
      <c r="L13" s="176">
        <v>0.02</v>
      </c>
    </row>
    <row r="14" spans="1:12" ht="19.5">
      <c r="A14" s="83">
        <v>10</v>
      </c>
      <c r="B14" s="147" t="s">
        <v>181</v>
      </c>
      <c r="C14" s="85" t="s">
        <v>106</v>
      </c>
      <c r="D14" s="66">
        <f>'Исх.вода'!D16</f>
        <v>1</v>
      </c>
      <c r="E14" s="89">
        <v>4.360440370734233E-05</v>
      </c>
      <c r="F14" s="89">
        <f t="shared" si="3"/>
        <v>4.360440370734233E-05</v>
      </c>
      <c r="G14" s="89">
        <f t="shared" si="1"/>
        <v>4.360440370734233E-05</v>
      </c>
      <c r="H14" s="67">
        <f>44*G11+G14+G15</f>
        <v>22.016181313317922</v>
      </c>
      <c r="I14" s="95">
        <f>H14</f>
        <v>22.016181313317922</v>
      </c>
      <c r="J14" s="67">
        <f t="shared" si="2"/>
        <v>22.016181313317922</v>
      </c>
      <c r="K14" s="177">
        <v>4</v>
      </c>
      <c r="L14" s="176">
        <v>0</v>
      </c>
    </row>
    <row r="15" spans="1:12" ht="20.25">
      <c r="A15" s="83">
        <v>11</v>
      </c>
      <c r="B15" s="147" t="s">
        <v>182</v>
      </c>
      <c r="C15" s="83" t="s">
        <v>108</v>
      </c>
      <c r="D15" s="45"/>
      <c r="E15" s="90">
        <v>0.016137708914215017</v>
      </c>
      <c r="F15" s="90">
        <f t="shared" si="3"/>
        <v>0.016137708914215017</v>
      </c>
      <c r="G15" s="90">
        <f t="shared" si="1"/>
        <v>0.016137708914215017</v>
      </c>
      <c r="H15" s="77">
        <v>0</v>
      </c>
      <c r="I15" s="83">
        <f>H15</f>
        <v>0</v>
      </c>
      <c r="J15" s="45">
        <f t="shared" si="2"/>
        <v>0</v>
      </c>
      <c r="K15" s="83">
        <f>J15</f>
        <v>0</v>
      </c>
      <c r="L15" s="176">
        <v>0</v>
      </c>
    </row>
    <row r="16" spans="1:12" ht="18">
      <c r="A16" s="83">
        <v>12</v>
      </c>
      <c r="B16" s="147" t="s">
        <v>183</v>
      </c>
      <c r="C16" s="83" t="s">
        <v>108</v>
      </c>
      <c r="D16" s="45"/>
      <c r="E16" s="91">
        <v>6.722499127932277E-08</v>
      </c>
      <c r="F16" s="91">
        <f t="shared" si="3"/>
        <v>6.722499127932277E-08</v>
      </c>
      <c r="G16" s="91">
        <f t="shared" si="1"/>
        <v>6.722499127932277E-08</v>
      </c>
      <c r="H16" s="45"/>
      <c r="I16" s="83"/>
      <c r="J16" s="45"/>
      <c r="K16" s="83"/>
      <c r="L16" s="78"/>
    </row>
    <row r="17" spans="1:12" ht="18">
      <c r="A17" s="83">
        <v>13</v>
      </c>
      <c r="B17" s="147" t="s">
        <v>184</v>
      </c>
      <c r="C17" s="83" t="s">
        <v>108</v>
      </c>
      <c r="D17" s="45"/>
      <c r="E17" s="88">
        <v>0.35000723523165334</v>
      </c>
      <c r="F17" s="88">
        <f t="shared" si="3"/>
        <v>0.35000723523165334</v>
      </c>
      <c r="G17" s="88">
        <f t="shared" si="1"/>
        <v>0.35000723523165334</v>
      </c>
      <c r="H17" s="45"/>
      <c r="I17" s="83"/>
      <c r="J17" s="45"/>
      <c r="K17" s="83"/>
      <c r="L17" s="78"/>
    </row>
    <row r="18" spans="1:12" ht="15">
      <c r="A18" s="83">
        <v>14</v>
      </c>
      <c r="B18" s="148" t="s">
        <v>185</v>
      </c>
      <c r="C18" s="83" t="s">
        <v>186</v>
      </c>
      <c r="D18" s="45"/>
      <c r="E18" s="92">
        <v>0.9385755691042621</v>
      </c>
      <c r="F18" s="83"/>
      <c r="G18" s="83"/>
      <c r="H18" s="45"/>
      <c r="I18" s="83"/>
      <c r="J18" s="45"/>
      <c r="K18" s="83"/>
      <c r="L18" s="78"/>
    </row>
    <row r="19" spans="1:12" ht="15">
      <c r="A19" s="83">
        <v>15</v>
      </c>
      <c r="B19" s="148" t="s">
        <v>187</v>
      </c>
      <c r="C19" s="83" t="s">
        <v>186</v>
      </c>
      <c r="D19" s="45"/>
      <c r="E19" s="92">
        <v>0.7760272680569384</v>
      </c>
      <c r="F19" s="83"/>
      <c r="G19" s="83"/>
      <c r="H19" s="45"/>
      <c r="I19" s="83"/>
      <c r="J19" s="45"/>
      <c r="K19" s="83"/>
      <c r="L19" s="78"/>
    </row>
    <row r="20" spans="1:12" ht="15">
      <c r="A20" s="83">
        <v>16</v>
      </c>
      <c r="B20" s="148" t="s">
        <v>188</v>
      </c>
      <c r="C20" s="83" t="s">
        <v>189</v>
      </c>
      <c r="D20" s="45"/>
      <c r="E20" s="89">
        <v>0.0032092599657106325</v>
      </c>
      <c r="F20" s="83"/>
      <c r="G20" s="83"/>
      <c r="H20" s="45"/>
      <c r="I20" s="83"/>
      <c r="J20" s="45"/>
      <c r="K20" s="83"/>
      <c r="L20" s="78"/>
    </row>
    <row r="21" spans="1:12" ht="12.75">
      <c r="A21" s="83">
        <v>17</v>
      </c>
      <c r="B21" s="74" t="s">
        <v>190</v>
      </c>
      <c r="C21" s="83" t="s">
        <v>108</v>
      </c>
      <c r="D21" s="88">
        <f>D5+D6+D7+D8+D16</f>
        <v>4.316666666666666</v>
      </c>
      <c r="E21" s="88">
        <f>E5+E6+E7+E8+E16</f>
        <v>1.8737117069134093</v>
      </c>
      <c r="F21" s="88">
        <f>F5+F6+F7+F8+F16</f>
        <v>2.365704803300798</v>
      </c>
      <c r="G21" s="88">
        <f>G5+G6+G7+G8+G16</f>
        <v>2.365704803300798</v>
      </c>
      <c r="H21" s="88"/>
      <c r="I21" s="88"/>
      <c r="J21" s="88"/>
      <c r="K21" s="88"/>
      <c r="L21" s="88"/>
    </row>
    <row r="22" spans="1:12" ht="12.75">
      <c r="A22" s="83">
        <v>18</v>
      </c>
      <c r="B22" s="74" t="s">
        <v>191</v>
      </c>
      <c r="C22" s="83" t="s">
        <v>108</v>
      </c>
      <c r="D22" s="88">
        <f>D9+D10+D11+D12+D15+D17</f>
        <v>4.294641826368045</v>
      </c>
      <c r="E22" s="88">
        <f>E9+E10+E11+E12+E15+E17</f>
        <v>1.8737117069134093</v>
      </c>
      <c r="F22" s="88">
        <f>F9+F10+F11+F12+F15+F17</f>
        <v>2.365704803300798</v>
      </c>
      <c r="G22" s="88">
        <f>G9+G10+G11+G12+G15+G17</f>
        <v>2.365704803300798</v>
      </c>
      <c r="H22" s="88"/>
      <c r="I22" s="88"/>
      <c r="J22" s="88"/>
      <c r="K22" s="88"/>
      <c r="L22" s="88"/>
    </row>
    <row r="23" spans="1:12" ht="14.25">
      <c r="A23" s="83">
        <v>19</v>
      </c>
      <c r="B23" s="45" t="s">
        <v>192</v>
      </c>
      <c r="C23" s="86" t="s">
        <v>193</v>
      </c>
      <c r="D23" s="178">
        <v>10</v>
      </c>
      <c r="E23" s="179">
        <v>35</v>
      </c>
      <c r="F23" s="83">
        <f aca="true" t="shared" si="4" ref="F23:K23">E23</f>
        <v>35</v>
      </c>
      <c r="G23" s="83">
        <f t="shared" si="4"/>
        <v>35</v>
      </c>
      <c r="H23" s="45">
        <f t="shared" si="4"/>
        <v>35</v>
      </c>
      <c r="I23" s="83">
        <f t="shared" si="4"/>
        <v>35</v>
      </c>
      <c r="J23" s="45">
        <f t="shared" si="4"/>
        <v>35</v>
      </c>
      <c r="K23" s="83">
        <f t="shared" si="4"/>
        <v>35</v>
      </c>
      <c r="L23" s="78">
        <f>J23</f>
        <v>35</v>
      </c>
    </row>
    <row r="24" spans="1:12" ht="13.5" thickBot="1">
      <c r="A24" s="84">
        <v>20</v>
      </c>
      <c r="B24" s="79" t="s">
        <v>194</v>
      </c>
      <c r="C24" s="84" t="s">
        <v>186</v>
      </c>
      <c r="D24" s="80" t="e">
        <f>pH(D5,D6,D7,D8,D9,D10,D11,D12,D14,D15,D23)</f>
        <v>#NAME?</v>
      </c>
      <c r="E24" s="238">
        <v>10.2</v>
      </c>
      <c r="F24" s="94">
        <f>E24</f>
        <v>10.2</v>
      </c>
      <c r="G24" s="94">
        <f>F24</f>
        <v>10.2</v>
      </c>
      <c r="H24" s="80" t="e">
        <f>pH(H5,H6,H7,H8,H9,H10,H11,H12,H14,H15,H23)</f>
        <v>#NAME?</v>
      </c>
      <c r="I24" s="94" t="e">
        <f>pH(I5,I6,I7,I8,I9,I10,I11,I12,I14,I15,I23)</f>
        <v>#NAME?</v>
      </c>
      <c r="J24" s="80" t="e">
        <f>pH(J5,J6,J7,J8,J9,J10,J11,J12,J14,J15,J23)</f>
        <v>#NAME?</v>
      </c>
      <c r="K24" s="94" t="e">
        <f>pH(K5,K6,K7,K8,K9,K10,K11,K12,K14,K15,K23)</f>
        <v>#NAME?</v>
      </c>
      <c r="L24" s="81" t="e">
        <f>pH(L5,L6,L7,L8,L9,L10,L11,L12,L14,L15,L23)</f>
        <v>#NAME?</v>
      </c>
    </row>
    <row r="25" ht="12.75" hidden="1">
      <c r="E25" s="11"/>
    </row>
    <row r="26" ht="12.75" hidden="1">
      <c r="E26" s="11"/>
    </row>
    <row r="27" ht="12.75" hidden="1">
      <c r="E27" s="11"/>
    </row>
    <row r="28" ht="12.75" hidden="1">
      <c r="E28" s="11"/>
    </row>
    <row r="29" ht="12.75" hidden="1">
      <c r="E29" s="11"/>
    </row>
  </sheetData>
  <sheetProtection/>
  <printOptions/>
  <pageMargins left="1.1811023622047245" right="0.7874015748031497" top="0.984251968503937" bottom="0.984251968503937" header="0.5118110236220472" footer="0.5118110236220472"/>
  <pageSetup horizontalDpi="360" verticalDpi="360" orientation="landscape" paperSize="9" r:id="rId2"/>
  <headerFooter alignWithMargins="0">
    <oddHeader>&amp;C&amp;A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B2:F1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125" style="0" customWidth="1"/>
    <col min="2" max="2" width="11.75390625" style="0" customWidth="1"/>
    <col min="3" max="3" width="9.125" style="0" customWidth="1"/>
    <col min="4" max="4" width="9.125" style="6" customWidth="1"/>
    <col min="5" max="7" width="9.125" style="0" customWidth="1"/>
    <col min="8" max="16384" width="0" style="0" hidden="1" customWidth="1"/>
  </cols>
  <sheetData>
    <row r="1" ht="25.5" customHeight="1" thickBot="1"/>
    <row r="2" spans="2:6" ht="12.75">
      <c r="B2" s="55" t="s">
        <v>195</v>
      </c>
      <c r="C2" s="56"/>
      <c r="D2" s="180">
        <v>0.5</v>
      </c>
      <c r="E2" s="57" t="s">
        <v>108</v>
      </c>
      <c r="F2" s="58"/>
    </row>
    <row r="3" spans="2:6" ht="12.75">
      <c r="B3" s="59" t="s">
        <v>196</v>
      </c>
      <c r="C3" s="60"/>
      <c r="D3" s="45"/>
      <c r="E3" s="60"/>
      <c r="F3" s="61"/>
    </row>
    <row r="4" spans="2:6" ht="15.75">
      <c r="B4" s="59" t="s">
        <v>197</v>
      </c>
      <c r="C4" s="60"/>
      <c r="D4" s="45"/>
      <c r="E4" s="60"/>
      <c r="F4" s="61"/>
    </row>
    <row r="5" spans="2:6" ht="12.75">
      <c r="B5" s="62" t="s">
        <v>198</v>
      </c>
      <c r="C5" s="63">
        <f>'Исх.вода'!D16/44</f>
        <v>0.022727272727272728</v>
      </c>
      <c r="D5" s="60" t="s">
        <v>108</v>
      </c>
      <c r="E5" s="60"/>
      <c r="F5" s="61"/>
    </row>
    <row r="6" spans="2:6" ht="12.75">
      <c r="B6" s="62" t="s">
        <v>199</v>
      </c>
      <c r="C6" s="63">
        <f>'Исх.вода'!F13</f>
        <v>3.2950819672131146</v>
      </c>
      <c r="D6" s="60" t="s">
        <v>108</v>
      </c>
      <c r="E6" s="60"/>
      <c r="F6" s="61"/>
    </row>
    <row r="7" spans="2:6" ht="12.75">
      <c r="B7" s="62" t="s">
        <v>200</v>
      </c>
      <c r="C7" s="63">
        <f>'Исх.вода'!F10</f>
        <v>1.3166666666666667</v>
      </c>
      <c r="D7" s="60" t="s">
        <v>108</v>
      </c>
      <c r="E7" s="60"/>
      <c r="F7" s="64"/>
    </row>
    <row r="8" spans="2:6" ht="12.75">
      <c r="B8" s="59" t="s">
        <v>201</v>
      </c>
      <c r="C8" s="181">
        <v>0.1</v>
      </c>
      <c r="D8" s="60" t="s">
        <v>108</v>
      </c>
      <c r="E8" s="60"/>
      <c r="F8" s="61"/>
    </row>
    <row r="9" spans="2:6" ht="12.75">
      <c r="B9" s="62" t="s">
        <v>202</v>
      </c>
      <c r="C9" s="63">
        <f>C5+C6+C7+C8+D2</f>
        <v>5.234475906607054</v>
      </c>
      <c r="D9" s="60" t="s">
        <v>108</v>
      </c>
      <c r="E9" s="60"/>
      <c r="F9" s="61"/>
    </row>
    <row r="10" spans="2:6" ht="12.75">
      <c r="B10" s="65"/>
      <c r="C10" s="60"/>
      <c r="D10" s="45"/>
      <c r="E10" s="60"/>
      <c r="F10" s="61"/>
    </row>
    <row r="11" spans="2:6" ht="12.75">
      <c r="B11" s="59"/>
      <c r="C11" s="60"/>
      <c r="D11" s="45"/>
      <c r="E11" s="102"/>
      <c r="F11" s="61"/>
    </row>
    <row r="12" spans="2:6" ht="12.75">
      <c r="B12" s="59"/>
      <c r="C12" s="60"/>
      <c r="D12" s="45"/>
      <c r="E12" s="60"/>
      <c r="F12" s="61"/>
    </row>
    <row r="13" spans="2:6" ht="12.75">
      <c r="B13" s="62" t="s">
        <v>203</v>
      </c>
      <c r="C13" s="60"/>
      <c r="D13" s="45"/>
      <c r="E13" s="66">
        <v>1.7752527281344168</v>
      </c>
      <c r="F13" s="61" t="s">
        <v>108</v>
      </c>
    </row>
    <row r="14" spans="2:6" ht="12.75">
      <c r="B14" s="59" t="s">
        <v>204</v>
      </c>
      <c r="C14" s="60"/>
      <c r="D14" s="45"/>
      <c r="E14" s="67">
        <v>164.8149779557746</v>
      </c>
      <c r="F14" s="68" t="s">
        <v>106</v>
      </c>
    </row>
    <row r="15" spans="2:6" ht="12.75">
      <c r="B15" s="62" t="s">
        <v>205</v>
      </c>
      <c r="C15" s="60"/>
      <c r="D15" s="45"/>
      <c r="E15" s="67">
        <v>26.959677603705877</v>
      </c>
      <c r="F15" s="68" t="s">
        <v>106</v>
      </c>
    </row>
    <row r="16" spans="2:6" ht="13.5" thickBot="1">
      <c r="B16" s="69"/>
      <c r="C16" s="70"/>
      <c r="D16" s="71"/>
      <c r="E16" s="70"/>
      <c r="F16" s="72"/>
    </row>
    <row r="17" ht="12.75"/>
    <row r="18" ht="12.75"/>
  </sheetData>
  <sheetProtection/>
  <printOptions/>
  <pageMargins left="1.6141732283464567" right="0.7874015748031497" top="1.7322834645669292" bottom="0.984251968503937" header="0.5118110236220472" footer="0.5118110236220472"/>
  <pageSetup horizontalDpi="360" verticalDpi="36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G99"/>
  <sheetViews>
    <sheetView zoomScalePageLayoutView="0" workbookViewId="0" topLeftCell="A1">
      <selection activeCell="C29" sqref="C29"/>
    </sheetView>
  </sheetViews>
  <sheetFormatPr defaultColWidth="0" defaultRowHeight="12.75" zeroHeight="1"/>
  <cols>
    <col min="1" max="8" width="9.125" style="0" customWidth="1"/>
    <col min="9" max="16384" width="0" style="0" hidden="1" customWidth="1"/>
  </cols>
  <sheetData>
    <row r="1" spans="1:7" ht="20.25">
      <c r="A1" s="53" t="s">
        <v>206</v>
      </c>
      <c r="B1" s="13"/>
      <c r="C1" s="13"/>
      <c r="D1" s="13"/>
      <c r="E1" s="13"/>
      <c r="F1" s="13"/>
      <c r="G1" s="13"/>
    </row>
    <row r="2" spans="1:2" ht="12.75">
      <c r="A2" t="s">
        <v>207</v>
      </c>
      <c r="B2" s="3"/>
    </row>
    <row r="3" spans="1:3" ht="12.75">
      <c r="A3" t="s">
        <v>208</v>
      </c>
      <c r="B3" t="s">
        <v>209</v>
      </c>
      <c r="C3" s="182">
        <v>50</v>
      </c>
    </row>
    <row r="4" spans="1:3" ht="14.25">
      <c r="A4" t="s">
        <v>210</v>
      </c>
      <c r="B4" s="3" t="s">
        <v>211</v>
      </c>
      <c r="C4" s="182">
        <f>'Выбор Qвпу'!B25</f>
        <v>110</v>
      </c>
    </row>
    <row r="5" spans="1:3" ht="14.25">
      <c r="A5" t="s">
        <v>212</v>
      </c>
      <c r="B5" s="3" t="s">
        <v>213</v>
      </c>
      <c r="C5">
        <f>C4/C3</f>
        <v>2.2</v>
      </c>
    </row>
    <row r="6" ht="12.75">
      <c r="A6" t="s">
        <v>214</v>
      </c>
    </row>
    <row r="7" ht="12.75">
      <c r="A7" t="s">
        <v>215</v>
      </c>
    </row>
    <row r="8" ht="12.75">
      <c r="A8" s="3" t="s">
        <v>216</v>
      </c>
    </row>
    <row r="9" ht="12.75">
      <c r="A9" s="3" t="s">
        <v>217</v>
      </c>
    </row>
    <row r="10" ht="12.75">
      <c r="C10" s="183">
        <v>10000</v>
      </c>
    </row>
    <row r="11" spans="1:3" ht="14.25">
      <c r="A11" t="s">
        <v>218</v>
      </c>
      <c r="B11" s="3" t="s">
        <v>213</v>
      </c>
      <c r="C11" s="182">
        <v>3.14</v>
      </c>
    </row>
    <row r="12" spans="1:3" ht="12.75">
      <c r="A12" t="s">
        <v>219</v>
      </c>
      <c r="B12" t="s">
        <v>220</v>
      </c>
      <c r="C12" s="182">
        <v>1.2</v>
      </c>
    </row>
    <row r="13" spans="1:3" ht="12.75">
      <c r="A13" t="s">
        <v>221</v>
      </c>
      <c r="B13" t="s">
        <v>222</v>
      </c>
      <c r="C13" s="182">
        <v>1</v>
      </c>
    </row>
    <row r="14" spans="1:3" ht="12.75">
      <c r="A14" t="s">
        <v>223</v>
      </c>
      <c r="B14" t="s">
        <v>224</v>
      </c>
      <c r="C14">
        <f>C10*C11*C12*C13/C4</f>
        <v>342.54545454545456</v>
      </c>
    </row>
    <row r="15" ht="12.75">
      <c r="A15" s="3" t="s">
        <v>225</v>
      </c>
    </row>
    <row r="16" ht="12.75">
      <c r="C16" s="54">
        <f>C13*24</f>
        <v>24</v>
      </c>
    </row>
    <row r="17" spans="1:3" ht="12.75">
      <c r="A17" t="s">
        <v>188</v>
      </c>
      <c r="C17" s="1">
        <f>C16/C14</f>
        <v>0.07006369426751592</v>
      </c>
    </row>
    <row r="18" ht="12.75">
      <c r="A18" t="s">
        <v>226</v>
      </c>
    </row>
    <row r="19" spans="1:3" ht="14.25">
      <c r="A19" t="s">
        <v>227</v>
      </c>
      <c r="B19" s="3" t="s">
        <v>228</v>
      </c>
      <c r="C19" s="182">
        <v>70</v>
      </c>
    </row>
    <row r="20" spans="1:3" ht="12.75">
      <c r="A20" t="s">
        <v>229</v>
      </c>
      <c r="B20" t="s">
        <v>220</v>
      </c>
      <c r="C20" s="182">
        <v>0.6</v>
      </c>
    </row>
    <row r="21" spans="1:3" ht="12.75">
      <c r="A21" t="s">
        <v>230</v>
      </c>
      <c r="B21" t="s">
        <v>231</v>
      </c>
      <c r="C21">
        <f>C11*C19*C20</f>
        <v>131.88</v>
      </c>
    </row>
    <row r="22" ht="12.75">
      <c r="A22" t="s">
        <v>232</v>
      </c>
    </row>
    <row r="23" spans="1:3" ht="12.75">
      <c r="A23" s="4" t="s">
        <v>233</v>
      </c>
      <c r="B23" t="s">
        <v>231</v>
      </c>
      <c r="C23">
        <f>C21*C17</f>
        <v>9.24</v>
      </c>
    </row>
    <row r="24" ht="12.75">
      <c r="A24" t="s">
        <v>234</v>
      </c>
    </row>
    <row r="25" spans="1:3" ht="14.25">
      <c r="A25" t="s">
        <v>235</v>
      </c>
      <c r="B25" s="3" t="s">
        <v>228</v>
      </c>
      <c r="C25" s="182">
        <v>100</v>
      </c>
    </row>
    <row r="26" spans="1:3" ht="12.75">
      <c r="A26" t="s">
        <v>236</v>
      </c>
      <c r="B26" t="s">
        <v>220</v>
      </c>
      <c r="C26" s="182">
        <v>0.6</v>
      </c>
    </row>
    <row r="27" spans="1:3" ht="12.75">
      <c r="A27" t="s">
        <v>237</v>
      </c>
      <c r="B27" t="s">
        <v>231</v>
      </c>
      <c r="C27">
        <f>C11*C25*C26</f>
        <v>188.4</v>
      </c>
    </row>
    <row r="28" ht="12.75">
      <c r="A28" t="s">
        <v>238</v>
      </c>
    </row>
    <row r="29" spans="1:3" ht="12.75">
      <c r="A29" s="4" t="s">
        <v>239</v>
      </c>
      <c r="B29" t="s">
        <v>231</v>
      </c>
      <c r="C29">
        <f>C17*C27</f>
        <v>13.2</v>
      </c>
    </row>
    <row r="30" ht="12.75">
      <c r="A30" t="s">
        <v>240</v>
      </c>
    </row>
    <row r="31" spans="1:3" ht="12.75">
      <c r="A31" t="s">
        <v>241</v>
      </c>
      <c r="B31" t="s">
        <v>209</v>
      </c>
      <c r="C31" s="182">
        <v>10</v>
      </c>
    </row>
    <row r="32" spans="1:3" ht="12.75">
      <c r="A32" t="s">
        <v>242</v>
      </c>
      <c r="B32" t="s">
        <v>243</v>
      </c>
      <c r="C32" s="182">
        <v>25</v>
      </c>
    </row>
    <row r="33" spans="1:3" ht="14.25">
      <c r="A33" t="s">
        <v>244</v>
      </c>
      <c r="B33" s="3" t="s">
        <v>245</v>
      </c>
      <c r="C33" s="1">
        <f>C31*C11*C32/60</f>
        <v>13.083333333333334</v>
      </c>
    </row>
    <row r="34" ht="12.75">
      <c r="A34" t="s">
        <v>246</v>
      </c>
    </row>
    <row r="35" spans="1:3" ht="12.75">
      <c r="A35" t="s">
        <v>247</v>
      </c>
      <c r="B35" t="s">
        <v>209</v>
      </c>
      <c r="C35" s="182">
        <v>5</v>
      </c>
    </row>
    <row r="36" spans="1:3" ht="12.75">
      <c r="A36" t="s">
        <v>248</v>
      </c>
      <c r="B36" t="s">
        <v>243</v>
      </c>
      <c r="C36" s="182">
        <v>10</v>
      </c>
    </row>
    <row r="37" spans="1:3" ht="14.25">
      <c r="A37" t="s">
        <v>249</v>
      </c>
      <c r="B37" s="3" t="s">
        <v>245</v>
      </c>
      <c r="C37" s="1">
        <f>C38*C35*C11*C36/60</f>
        <v>5.233333333333333</v>
      </c>
    </row>
    <row r="38" ht="12.75">
      <c r="C38" s="182">
        <v>2</v>
      </c>
    </row>
    <row r="39" ht="12.75">
      <c r="A39" t="s">
        <v>250</v>
      </c>
    </row>
    <row r="40" spans="1:3" ht="12.75">
      <c r="A40" t="s">
        <v>251</v>
      </c>
      <c r="C40" s="184">
        <v>3</v>
      </c>
    </row>
    <row r="41" ht="12.75">
      <c r="C41" s="182">
        <v>100</v>
      </c>
    </row>
    <row r="42" ht="12.75">
      <c r="C42" s="182">
        <v>1000</v>
      </c>
    </row>
    <row r="43" spans="1:3" ht="14.25">
      <c r="A43" s="5" t="s">
        <v>252</v>
      </c>
      <c r="B43" s="3" t="s">
        <v>245</v>
      </c>
      <c r="C43">
        <f>C21*C41/(C40*C42)</f>
        <v>4.396</v>
      </c>
    </row>
    <row r="44" ht="12.75">
      <c r="A44" t="s">
        <v>253</v>
      </c>
    </row>
    <row r="45" spans="1:3" ht="14.25">
      <c r="A45" t="s">
        <v>254</v>
      </c>
      <c r="B45" s="3" t="s">
        <v>245</v>
      </c>
      <c r="C45">
        <f>C27*100/4000</f>
        <v>4.71</v>
      </c>
    </row>
    <row r="46" ht="12.75">
      <c r="A46" s="3" t="s">
        <v>255</v>
      </c>
    </row>
    <row r="47" ht="12.75">
      <c r="A47" s="3" t="s">
        <v>256</v>
      </c>
    </row>
    <row r="48" spans="1:3" ht="12.75">
      <c r="A48" t="s">
        <v>257</v>
      </c>
      <c r="B48" t="s">
        <v>209</v>
      </c>
      <c r="C48" s="182">
        <v>5</v>
      </c>
    </row>
    <row r="49" spans="1:3" ht="12.75">
      <c r="A49" t="s">
        <v>258</v>
      </c>
      <c r="B49" t="s">
        <v>243</v>
      </c>
      <c r="C49" s="182">
        <v>60</v>
      </c>
    </row>
    <row r="50" spans="1:3" ht="14.25">
      <c r="A50" t="s">
        <v>259</v>
      </c>
      <c r="B50" s="3" t="s">
        <v>245</v>
      </c>
      <c r="C50">
        <f>2*C48*C49*C11/60</f>
        <v>31.4</v>
      </c>
    </row>
    <row r="51" ht="12.75">
      <c r="A51" s="3" t="s">
        <v>260</v>
      </c>
    </row>
    <row r="52" spans="1:3" ht="14.25">
      <c r="A52" t="s">
        <v>261</v>
      </c>
      <c r="B52" s="3" t="s">
        <v>262</v>
      </c>
      <c r="C52" s="182">
        <v>5</v>
      </c>
    </row>
    <row r="53" spans="1:3" ht="14.25">
      <c r="A53" t="s">
        <v>263</v>
      </c>
      <c r="B53" s="3" t="s">
        <v>245</v>
      </c>
      <c r="C53">
        <f>C11*C12*C52</f>
        <v>18.84</v>
      </c>
    </row>
    <row r="54" ht="12.75">
      <c r="A54" t="s">
        <v>264</v>
      </c>
    </row>
    <row r="55" spans="1:3" ht="14.25">
      <c r="A55" t="s">
        <v>265</v>
      </c>
      <c r="B55" s="3" t="s">
        <v>245</v>
      </c>
      <c r="C55" s="1">
        <f>C33+C37+C43+C45+C50+C53</f>
        <v>77.66266666666667</v>
      </c>
    </row>
    <row r="56" ht="12.75">
      <c r="A56" t="s">
        <v>266</v>
      </c>
    </row>
    <row r="57" spans="1:3" ht="14.25">
      <c r="A57" t="s">
        <v>267</v>
      </c>
      <c r="B57" s="3" t="s">
        <v>268</v>
      </c>
      <c r="C57" s="1">
        <f>C17*C55/24</f>
        <v>0.22672222222222224</v>
      </c>
    </row>
    <row r="58" ht="12.75">
      <c r="A58" t="s">
        <v>269</v>
      </c>
    </row>
    <row r="59" spans="1:3" ht="12.75">
      <c r="A59" t="s">
        <v>270</v>
      </c>
      <c r="B59" t="s">
        <v>209</v>
      </c>
      <c r="C59" s="182">
        <v>5</v>
      </c>
    </row>
    <row r="60" spans="1:3" ht="12.75">
      <c r="A60" t="s">
        <v>271</v>
      </c>
      <c r="B60" t="s">
        <v>243</v>
      </c>
      <c r="C60">
        <f>C43*60/(C11*C59)</f>
        <v>16.799999999999997</v>
      </c>
    </row>
    <row r="61" ht="12.75">
      <c r="A61" t="s">
        <v>272</v>
      </c>
    </row>
    <row r="62" spans="1:3" ht="12.75">
      <c r="A62" t="s">
        <v>273</v>
      </c>
      <c r="B62" t="s">
        <v>209</v>
      </c>
      <c r="C62" s="182">
        <v>5</v>
      </c>
    </row>
    <row r="63" spans="1:3" ht="12.75">
      <c r="A63" t="s">
        <v>274</v>
      </c>
      <c r="B63" t="s">
        <v>243</v>
      </c>
      <c r="C63">
        <f>C45*60/(C11*C62)</f>
        <v>18</v>
      </c>
    </row>
    <row r="64" ht="12.75">
      <c r="A64" t="s">
        <v>275</v>
      </c>
    </row>
    <row r="65" spans="1:3" ht="12.75">
      <c r="A65" t="s">
        <v>276</v>
      </c>
      <c r="B65" t="s">
        <v>209</v>
      </c>
      <c r="C65" s="182">
        <v>10</v>
      </c>
    </row>
    <row r="66" spans="1:3" ht="12.75">
      <c r="A66" t="s">
        <v>277</v>
      </c>
      <c r="B66" t="s">
        <v>243</v>
      </c>
      <c r="C66">
        <f>C53*60/(C11*C65)</f>
        <v>36</v>
      </c>
    </row>
    <row r="67" ht="12.75">
      <c r="A67" s="3" t="s">
        <v>278</v>
      </c>
    </row>
    <row r="68" ht="12.75">
      <c r="A68" s="3" t="s">
        <v>279</v>
      </c>
    </row>
    <row r="69" spans="1:3" ht="12.75">
      <c r="A69" t="s">
        <v>280</v>
      </c>
      <c r="B69" t="s">
        <v>243</v>
      </c>
      <c r="C69" s="182">
        <v>30</v>
      </c>
    </row>
    <row r="70" spans="1:3" ht="12.75">
      <c r="A70" t="s">
        <v>281</v>
      </c>
      <c r="B70" t="s">
        <v>243</v>
      </c>
      <c r="C70" s="182">
        <v>30</v>
      </c>
    </row>
    <row r="71" spans="1:3" ht="12.75">
      <c r="A71" t="s">
        <v>282</v>
      </c>
      <c r="B71" t="s">
        <v>243</v>
      </c>
      <c r="C71">
        <f>C69+C70+C66+C49+C32+C36+C63</f>
        <v>209</v>
      </c>
    </row>
    <row r="72" ht="12.75">
      <c r="A72" t="s">
        <v>283</v>
      </c>
    </row>
    <row r="73" spans="1:3" ht="14.25">
      <c r="A73" t="s">
        <v>284</v>
      </c>
      <c r="B73" s="3" t="s">
        <v>245</v>
      </c>
      <c r="C73">
        <f>0.5*C11*C12*C13</f>
        <v>1.884</v>
      </c>
    </row>
    <row r="74" ht="12.75">
      <c r="A74" t="s">
        <v>285</v>
      </c>
    </row>
    <row r="75" spans="1:3" ht="12.75">
      <c r="A75" t="s">
        <v>286</v>
      </c>
      <c r="C75" s="182">
        <v>1.03</v>
      </c>
    </row>
    <row r="76" spans="1:3" ht="12.75">
      <c r="A76" t="s">
        <v>287</v>
      </c>
      <c r="C76" s="182">
        <v>1.9</v>
      </c>
    </row>
    <row r="77" spans="1:3" ht="14.25">
      <c r="A77" t="s">
        <v>288</v>
      </c>
      <c r="B77" s="3" t="s">
        <v>245</v>
      </c>
      <c r="C77" s="1">
        <f>C73/C75</f>
        <v>1.8291262135922328</v>
      </c>
    </row>
    <row r="78" spans="1:3" ht="14.25">
      <c r="A78" t="s">
        <v>289</v>
      </c>
      <c r="B78" s="3" t="s">
        <v>245</v>
      </c>
      <c r="C78" s="2">
        <f>C73/C76</f>
        <v>0.991578947368421</v>
      </c>
    </row>
    <row r="79" ht="12.75">
      <c r="A79" t="s">
        <v>290</v>
      </c>
    </row>
    <row r="80" spans="1:3" ht="14.25">
      <c r="A80" t="s">
        <v>291</v>
      </c>
      <c r="B80" s="3" t="s">
        <v>292</v>
      </c>
      <c r="C80" s="182">
        <v>0.71</v>
      </c>
    </row>
    <row r="81" spans="1:3" ht="14.25">
      <c r="A81" t="s">
        <v>293</v>
      </c>
      <c r="B81" s="3" t="s">
        <v>292</v>
      </c>
      <c r="C81" s="182">
        <v>0.74</v>
      </c>
    </row>
    <row r="82" spans="1:3" ht="12.75">
      <c r="A82" t="s">
        <v>294</v>
      </c>
      <c r="B82" t="s">
        <v>295</v>
      </c>
      <c r="C82" s="2">
        <f>C77*C80</f>
        <v>1.2986796116504853</v>
      </c>
    </row>
    <row r="83" spans="1:3" ht="12.75">
      <c r="A83" t="s">
        <v>296</v>
      </c>
      <c r="B83" t="s">
        <v>295</v>
      </c>
      <c r="C83" s="2">
        <f>C78*C81</f>
        <v>0.7337684210526315</v>
      </c>
    </row>
    <row r="84" ht="12.75">
      <c r="A84" s="3" t="s">
        <v>297</v>
      </c>
    </row>
    <row r="85" spans="1:3" ht="12.75">
      <c r="A85" s="3" t="s">
        <v>298</v>
      </c>
      <c r="C85" s="182">
        <v>0.15</v>
      </c>
    </row>
    <row r="86" spans="1:3" ht="12.75">
      <c r="A86" t="s">
        <v>299</v>
      </c>
      <c r="C86" s="182">
        <v>0.1</v>
      </c>
    </row>
    <row r="87" spans="1:3" ht="12.75">
      <c r="A87" t="s">
        <v>300</v>
      </c>
      <c r="B87" t="s">
        <v>295</v>
      </c>
      <c r="C87" s="2">
        <f>C82*C85</f>
        <v>0.1948019417475728</v>
      </c>
    </row>
    <row r="88" spans="1:3" ht="12.75">
      <c r="A88" t="s">
        <v>301</v>
      </c>
      <c r="B88" t="s">
        <v>295</v>
      </c>
      <c r="C88" s="2">
        <f>C86*C83</f>
        <v>0.07337684210526316</v>
      </c>
    </row>
    <row r="89" ht="12.75">
      <c r="A89" t="s">
        <v>302</v>
      </c>
    </row>
    <row r="90" spans="1:3" ht="12.75">
      <c r="A90" t="s">
        <v>298</v>
      </c>
      <c r="C90" s="182">
        <v>0.1</v>
      </c>
    </row>
    <row r="91" spans="1:3" ht="12.75">
      <c r="A91" t="s">
        <v>299</v>
      </c>
      <c r="C91" s="182">
        <v>0.05</v>
      </c>
    </row>
    <row r="92" spans="1:3" ht="12.75">
      <c r="A92" t="s">
        <v>300</v>
      </c>
      <c r="B92" t="s">
        <v>295</v>
      </c>
      <c r="C92" s="2">
        <f>C90*C82</f>
        <v>0.12986796116504853</v>
      </c>
    </row>
    <row r="93" spans="1:3" ht="12.75">
      <c r="A93" t="s">
        <v>301</v>
      </c>
      <c r="B93" t="s">
        <v>295</v>
      </c>
      <c r="C93" s="2">
        <f>C91*C83</f>
        <v>0.03668842105263158</v>
      </c>
    </row>
    <row r="94" ht="12.75">
      <c r="A94" s="3" t="s">
        <v>552</v>
      </c>
    </row>
    <row r="95" spans="1:3" ht="12.75">
      <c r="A95" t="s">
        <v>303</v>
      </c>
      <c r="C95" s="182">
        <v>5</v>
      </c>
    </row>
    <row r="96" spans="1:3" ht="12.75">
      <c r="A96" t="s">
        <v>304</v>
      </c>
      <c r="B96" t="s">
        <v>295</v>
      </c>
      <c r="C96" s="2">
        <f>C82+0.15*C82+(5-1)*0.1*C82</f>
        <v>2.012953398058252</v>
      </c>
    </row>
    <row r="97" ht="12.75">
      <c r="A97" s="3" t="s">
        <v>551</v>
      </c>
    </row>
    <row r="98" ht="12.75">
      <c r="A98" s="3" t="s">
        <v>305</v>
      </c>
    </row>
    <row r="99" spans="1:3" ht="12.75">
      <c r="A99" t="s">
        <v>306</v>
      </c>
      <c r="B99" t="s">
        <v>295</v>
      </c>
      <c r="C99" s="2">
        <f>C83+0.1*C83+(8-1)*0.05*C83</f>
        <v>1.0639642105263158</v>
      </c>
    </row>
    <row r="100" ht="12.75"/>
  </sheetData>
  <sheetProtection/>
  <printOptions gridLines="1"/>
  <pageMargins left="1.220472440944882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AF4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1" sqref="F21"/>
    </sheetView>
  </sheetViews>
  <sheetFormatPr defaultColWidth="0" defaultRowHeight="12.75" zeroHeight="1"/>
  <cols>
    <col min="1" max="1" width="3.00390625" style="0" customWidth="1"/>
    <col min="2" max="2" width="27.00390625" style="0" customWidth="1"/>
    <col min="3" max="3" width="13.00390625" style="6" customWidth="1"/>
    <col min="4" max="4" width="13.25390625" style="6" customWidth="1"/>
    <col min="5" max="5" width="25.875" style="6" customWidth="1"/>
    <col min="6" max="6" width="9.125" style="6" customWidth="1"/>
    <col min="7" max="7" width="10.375" style="6" customWidth="1"/>
    <col min="8" max="9" width="9.125" style="6" customWidth="1"/>
    <col min="10" max="10" width="18.625" style="6" customWidth="1"/>
    <col min="11" max="16384" width="0" style="0" hidden="1" customWidth="1"/>
  </cols>
  <sheetData>
    <row r="1" spans="1:11" s="8" customFormat="1" ht="18.75" thickBot="1">
      <c r="A1" s="38"/>
      <c r="B1" s="150" t="s">
        <v>307</v>
      </c>
      <c r="C1" s="39"/>
      <c r="D1" s="39"/>
      <c r="E1" s="39"/>
      <c r="F1" s="151"/>
      <c r="G1" s="40"/>
      <c r="H1" s="40"/>
      <c r="I1" s="40"/>
      <c r="J1" s="129"/>
      <c r="K1"/>
    </row>
    <row r="2" spans="1:32" s="37" customFormat="1" ht="26.25" thickBot="1">
      <c r="A2" s="130" t="s">
        <v>171</v>
      </c>
      <c r="B2" s="131" t="s">
        <v>308</v>
      </c>
      <c r="C2" s="132" t="s">
        <v>161</v>
      </c>
      <c r="D2" s="131" t="s">
        <v>309</v>
      </c>
      <c r="E2" s="132" t="s">
        <v>310</v>
      </c>
      <c r="F2" s="133" t="s">
        <v>170</v>
      </c>
      <c r="G2" s="134" t="s">
        <v>311</v>
      </c>
      <c r="H2" s="134" t="s">
        <v>312</v>
      </c>
      <c r="I2" s="135" t="s">
        <v>166</v>
      </c>
      <c r="J2" s="136" t="s">
        <v>313</v>
      </c>
      <c r="K2" s="12"/>
      <c r="L2" s="9"/>
      <c r="Q2" s="9"/>
      <c r="V2" s="9"/>
      <c r="AA2" s="9"/>
      <c r="AF2" s="9"/>
    </row>
    <row r="3" spans="1:11" s="12" customFormat="1" ht="25.5">
      <c r="A3" s="189">
        <v>1</v>
      </c>
      <c r="B3" s="43" t="s">
        <v>314</v>
      </c>
      <c r="C3" s="191" t="s">
        <v>268</v>
      </c>
      <c r="D3" s="191" t="s">
        <v>315</v>
      </c>
      <c r="E3" s="191" t="s">
        <v>316</v>
      </c>
      <c r="F3" s="192">
        <f>ФСД!C4+ФСД!C57</f>
        <v>110.22672222222222</v>
      </c>
      <c r="G3" s="192" t="e">
        <f>F3+F26</f>
        <v>#NAME?</v>
      </c>
      <c r="H3" s="192" t="e">
        <f>G3+G26</f>
        <v>#NAME?</v>
      </c>
      <c r="I3" s="192" t="e">
        <f>H3+H26</f>
        <v>#NAME?</v>
      </c>
      <c r="J3" s="193" t="e">
        <f>I3+I26</f>
        <v>#NAME?</v>
      </c>
      <c r="K3"/>
    </row>
    <row r="4" spans="1:11" s="12" customFormat="1" ht="25.5">
      <c r="A4" s="189">
        <v>2</v>
      </c>
      <c r="B4" s="187" t="s">
        <v>317</v>
      </c>
      <c r="C4" s="191" t="s">
        <v>209</v>
      </c>
      <c r="D4" s="191" t="s">
        <v>318</v>
      </c>
      <c r="E4" s="194" t="s">
        <v>319</v>
      </c>
      <c r="F4" s="195">
        <v>30</v>
      </c>
      <c r="G4" s="185">
        <v>50</v>
      </c>
      <c r="H4" s="185">
        <v>20</v>
      </c>
      <c r="I4" s="185">
        <v>30</v>
      </c>
      <c r="J4" s="196">
        <v>10</v>
      </c>
      <c r="K4"/>
    </row>
    <row r="5" spans="1:11" s="12" customFormat="1" ht="13.5" customHeight="1">
      <c r="A5" s="189">
        <v>3</v>
      </c>
      <c r="B5" s="43" t="s">
        <v>320</v>
      </c>
      <c r="C5" s="194" t="s">
        <v>222</v>
      </c>
      <c r="D5" s="194" t="s">
        <v>321</v>
      </c>
      <c r="E5" s="194" t="s">
        <v>319</v>
      </c>
      <c r="F5" s="195">
        <v>2</v>
      </c>
      <c r="G5" s="185">
        <v>2</v>
      </c>
      <c r="H5" s="185">
        <v>3</v>
      </c>
      <c r="I5" s="185">
        <v>3</v>
      </c>
      <c r="J5" s="196">
        <v>3</v>
      </c>
      <c r="K5"/>
    </row>
    <row r="6" spans="1:11" s="12" customFormat="1" ht="25.5">
      <c r="A6" s="189">
        <v>4</v>
      </c>
      <c r="B6" s="187" t="s">
        <v>322</v>
      </c>
      <c r="C6" s="191" t="s">
        <v>213</v>
      </c>
      <c r="D6" s="194" t="s">
        <v>323</v>
      </c>
      <c r="E6" s="194" t="s">
        <v>324</v>
      </c>
      <c r="F6" s="192" t="e">
        <f>F(2,"d",F3,F4,F5)</f>
        <v>#NAME?</v>
      </c>
      <c r="G6" s="192" t="e">
        <f>F(2,"d",G3,G4,G5)</f>
        <v>#NAME?</v>
      </c>
      <c r="H6" s="192" t="e">
        <f>F(1,"d",H3,H4,H5)</f>
        <v>#NAME?</v>
      </c>
      <c r="I6" s="192" t="e">
        <f>F(1,"d",I3,I4,I5)</f>
        <v>#NAME?</v>
      </c>
      <c r="J6" s="197">
        <v>3.4</v>
      </c>
      <c r="K6"/>
    </row>
    <row r="7" spans="1:11" s="12" customFormat="1" ht="25.5">
      <c r="A7" s="189">
        <v>5</v>
      </c>
      <c r="B7" s="43" t="s">
        <v>325</v>
      </c>
      <c r="C7" s="194" t="s">
        <v>222</v>
      </c>
      <c r="D7" s="194" t="s">
        <v>221</v>
      </c>
      <c r="E7" s="194" t="s">
        <v>324</v>
      </c>
      <c r="F7" s="198" t="e">
        <f>F(2,"n",F3,F4,F5)</f>
        <v>#NAME?</v>
      </c>
      <c r="G7" s="198" t="e">
        <f>F(2,"n",G3,G4,G5)</f>
        <v>#NAME?</v>
      </c>
      <c r="H7" s="198" t="e">
        <f>F(1,"n",H3,H4,H5)</f>
        <v>#NAME?</v>
      </c>
      <c r="I7" s="198" t="e">
        <f>F(1,"n",I3,I4,I5)</f>
        <v>#NAME?</v>
      </c>
      <c r="J7" s="199">
        <v>3</v>
      </c>
      <c r="K7"/>
    </row>
    <row r="8" spans="1:11" s="12" customFormat="1" ht="12.75">
      <c r="A8" s="189">
        <v>6</v>
      </c>
      <c r="B8" s="44" t="s">
        <v>326</v>
      </c>
      <c r="C8" s="194" t="s">
        <v>220</v>
      </c>
      <c r="D8" s="194" t="s">
        <v>327</v>
      </c>
      <c r="E8" s="194" t="s">
        <v>324</v>
      </c>
      <c r="F8" s="200" t="e">
        <f>F(2,"h",F3,F4,F5)</f>
        <v>#NAME?</v>
      </c>
      <c r="G8" s="200" t="e">
        <f>F(2,"h",G3,G4,G5)</f>
        <v>#NAME?</v>
      </c>
      <c r="H8" s="200" t="e">
        <f>F(1,"h",H3,H4,H5)</f>
        <v>#NAME?</v>
      </c>
      <c r="I8" s="200" t="e">
        <f>F(1,"h",I3,I4,I5)</f>
        <v>#NAME?</v>
      </c>
      <c r="J8" s="186">
        <v>0.9</v>
      </c>
      <c r="K8"/>
    </row>
    <row r="9" spans="1:11" s="12" customFormat="1" ht="25.5">
      <c r="A9" s="189">
        <v>7</v>
      </c>
      <c r="B9" s="187" t="s">
        <v>328</v>
      </c>
      <c r="C9" s="191" t="s">
        <v>213</v>
      </c>
      <c r="D9" s="191" t="s">
        <v>218</v>
      </c>
      <c r="E9" s="194" t="s">
        <v>218</v>
      </c>
      <c r="F9" s="201" t="e">
        <f>PI()*F6^2/4</f>
        <v>#NAME?</v>
      </c>
      <c r="G9" s="201" t="e">
        <f>PI()*G6^2/4</f>
        <v>#NAME?</v>
      </c>
      <c r="H9" s="201" t="e">
        <f>PI()*H6^2/4</f>
        <v>#NAME?</v>
      </c>
      <c r="I9" s="201" t="e">
        <f>PI()*I6^2/4</f>
        <v>#NAME?</v>
      </c>
      <c r="J9" s="202">
        <f>IF(J2="М (однокамерный)",PI()*J6^2/4,IF(J2="М (двухкамерный)",2*PI()*J6^2/4,IF(J2="М (трехкамерный)",3*PI()*J6^2/4)))</f>
        <v>9.0792027688745</v>
      </c>
      <c r="K9"/>
    </row>
    <row r="10" spans="1:11" s="12" customFormat="1" ht="25.5">
      <c r="A10" s="189">
        <v>8</v>
      </c>
      <c r="B10" s="43" t="s">
        <v>329</v>
      </c>
      <c r="C10" s="191" t="s">
        <v>209</v>
      </c>
      <c r="D10" s="194" t="s">
        <v>330</v>
      </c>
      <c r="E10" s="191" t="s">
        <v>331</v>
      </c>
      <c r="F10" s="192" t="e">
        <f>F3/F9/F7</f>
        <v>#NAME?</v>
      </c>
      <c r="G10" s="192" t="e">
        <f>G3/G9/G7</f>
        <v>#NAME?</v>
      </c>
      <c r="H10" s="192" t="e">
        <f>H3/H9/H7</f>
        <v>#NAME?</v>
      </c>
      <c r="I10" s="192" t="e">
        <f>I3/I9/I7</f>
        <v>#NAME?</v>
      </c>
      <c r="J10" s="203" t="e">
        <f>J3/J9/J7</f>
        <v>#NAME?</v>
      </c>
      <c r="K10"/>
    </row>
    <row r="11" spans="1:11" s="12" customFormat="1" ht="12.75">
      <c r="A11" s="189">
        <v>9</v>
      </c>
      <c r="B11" s="43" t="s">
        <v>332</v>
      </c>
      <c r="C11" s="194" t="s">
        <v>186</v>
      </c>
      <c r="D11" s="194"/>
      <c r="E11" s="194" t="s">
        <v>319</v>
      </c>
      <c r="F11" s="204" t="s">
        <v>333</v>
      </c>
      <c r="G11" s="185" t="s">
        <v>334</v>
      </c>
      <c r="H11" s="185" t="s">
        <v>566</v>
      </c>
      <c r="I11" s="185" t="s">
        <v>334</v>
      </c>
      <c r="J11" s="196" t="s">
        <v>335</v>
      </c>
      <c r="K11"/>
    </row>
    <row r="12" spans="1:11" s="12" customFormat="1" ht="25.5">
      <c r="A12" s="189">
        <v>10</v>
      </c>
      <c r="B12" s="44" t="s">
        <v>336</v>
      </c>
      <c r="C12" s="194" t="s">
        <v>337</v>
      </c>
      <c r="D12" s="194" t="s">
        <v>338</v>
      </c>
      <c r="E12" s="194" t="s">
        <v>319</v>
      </c>
      <c r="F12" s="185">
        <v>200</v>
      </c>
      <c r="G12" s="205">
        <v>60</v>
      </c>
      <c r="H12" s="205">
        <v>50</v>
      </c>
      <c r="I12" s="205">
        <v>70</v>
      </c>
      <c r="J12" s="206" t="s">
        <v>186</v>
      </c>
      <c r="K12"/>
    </row>
    <row r="13" spans="1:11" s="12" customFormat="1" ht="14.25">
      <c r="A13" s="189">
        <v>11</v>
      </c>
      <c r="B13" s="44" t="s">
        <v>339</v>
      </c>
      <c r="C13" s="191" t="s">
        <v>340</v>
      </c>
      <c r="D13" s="194" t="s">
        <v>341</v>
      </c>
      <c r="E13" s="194" t="s">
        <v>324</v>
      </c>
      <c r="F13" s="207" t="e">
        <f>Ep(F11,F12,'Кач.воды по ступ.'!J13/76.1+'Кач.воды по ступ.'!J14/44)</f>
        <v>#NAME?</v>
      </c>
      <c r="G13" s="185">
        <v>400</v>
      </c>
      <c r="H13" s="185">
        <v>800</v>
      </c>
      <c r="I13" s="207" t="e">
        <f>Ep(I11,I12,'Кач.воды по ступ.'!G5+'Кач.воды по ступ.'!G6+'Кач.воды по ступ.'!G7+'Кач.воды по ступ.'!G8)</f>
        <v>#NAME?</v>
      </c>
      <c r="J13" s="196">
        <v>2</v>
      </c>
      <c r="K13"/>
    </row>
    <row r="14" spans="1:11" s="12" customFormat="1" ht="25.5">
      <c r="A14" s="189">
        <v>12</v>
      </c>
      <c r="B14" s="43" t="s">
        <v>342</v>
      </c>
      <c r="C14" s="194" t="s">
        <v>224</v>
      </c>
      <c r="D14" s="191" t="s">
        <v>223</v>
      </c>
      <c r="E14" s="191" t="s">
        <v>343</v>
      </c>
      <c r="F14" s="208" t="e">
        <f>F9*F8*F13*F7/F3/(('Кач.воды по ступ.'!K13-'Кач.воды по ступ.'!L13)/76.1+('Кач.воды по ступ.'!K14-'Кач.воды по ступ.'!L14)/44)</f>
        <v>#NAME?</v>
      </c>
      <c r="G14" s="208" t="e">
        <f>G9*G8*G13*G7/G3/(('Кач.воды по ступ.'!I5-'Кач.воды по ступ.'!J5)+('Кач.воды по ступ.'!I6-'Кач.воды по ступ.'!J6)+('Кач.воды по ступ.'!I7-'Кач.воды по ступ.'!J7)+('Кач.воды по ступ.'!I8-'Кач.воды по ступ.'!J8))</f>
        <v>#NAME?</v>
      </c>
      <c r="H14" s="208" t="e">
        <f>H9*H8*H13*H7/H3/(('Кач.воды по ступ.'!H9-'Кач.воды по ступ.'!I9)+('Кач.воды по ступ.'!H10-'Кач.воды по ступ.'!I10))</f>
        <v>#NAME?</v>
      </c>
      <c r="I14" s="208" t="e">
        <f>I9*I8*I13*I7/I3/(('Кач.воды по ступ.'!G5-'Кач.воды по ступ.'!G5)+('Кач.воды по ступ.'!G6-'Кач.воды по ступ.'!G6)+('Кач.воды по ступ.'!G7-'Кач.воды по ступ.'!H7)+('Кач.воды по ступ.'!G8-'Кач.воды по ступ.'!H8))</f>
        <v>#NAME?</v>
      </c>
      <c r="J14" s="202" t="e">
        <f>J9*J8*J13*J7/J3/0.01</f>
        <v>#NAME?</v>
      </c>
      <c r="K14"/>
    </row>
    <row r="15" spans="1:11" s="12" customFormat="1" ht="25.5">
      <c r="A15" s="189">
        <v>13</v>
      </c>
      <c r="B15" s="44" t="s">
        <v>344</v>
      </c>
      <c r="C15" s="194" t="s">
        <v>345</v>
      </c>
      <c r="D15" s="194" t="s">
        <v>188</v>
      </c>
      <c r="E15" s="194" t="s">
        <v>346</v>
      </c>
      <c r="F15" s="208" t="e">
        <f>24*F7/F14</f>
        <v>#NAME?</v>
      </c>
      <c r="G15" s="208" t="e">
        <f>24*G7/G14</f>
        <v>#NAME?</v>
      </c>
      <c r="H15" s="208" t="e">
        <f>24*H7/H14</f>
        <v>#NAME?</v>
      </c>
      <c r="I15" s="208" t="e">
        <f>24*I7/I14</f>
        <v>#NAME?</v>
      </c>
      <c r="J15" s="202" t="e">
        <f>24*J7/J14</f>
        <v>#NAME?</v>
      </c>
      <c r="K15"/>
    </row>
    <row r="16" spans="1:11" s="12" customFormat="1" ht="25.5">
      <c r="A16" s="189">
        <v>14</v>
      </c>
      <c r="B16" s="44" t="s">
        <v>347</v>
      </c>
      <c r="C16" s="194" t="s">
        <v>231</v>
      </c>
      <c r="D16" s="194" t="s">
        <v>348</v>
      </c>
      <c r="E16" s="194" t="s">
        <v>349</v>
      </c>
      <c r="F16" s="208" t="e">
        <f>F9*F8*F12</f>
        <v>#NAME?</v>
      </c>
      <c r="G16" s="208" t="e">
        <f>G9*G8*G12</f>
        <v>#NAME?</v>
      </c>
      <c r="H16" s="208" t="e">
        <f>H9*H8*H12</f>
        <v>#NAME?</v>
      </c>
      <c r="I16" s="208" t="e">
        <f>I9*I8*I12</f>
        <v>#NAME?</v>
      </c>
      <c r="J16" s="202" t="s">
        <v>186</v>
      </c>
      <c r="K16"/>
    </row>
    <row r="17" spans="1:11" s="12" customFormat="1" ht="12.75">
      <c r="A17" s="189">
        <v>15</v>
      </c>
      <c r="B17" s="44" t="s">
        <v>350</v>
      </c>
      <c r="C17" s="194" t="s">
        <v>351</v>
      </c>
      <c r="D17" s="194" t="s">
        <v>352</v>
      </c>
      <c r="E17" s="194" t="s">
        <v>353</v>
      </c>
      <c r="F17" s="192" t="e">
        <f>F16*F15</f>
        <v>#NAME?</v>
      </c>
      <c r="G17" s="208" t="e">
        <f>G16*G15</f>
        <v>#NAME?</v>
      </c>
      <c r="H17" s="192" t="e">
        <f>H16*H15</f>
        <v>#NAME?</v>
      </c>
      <c r="I17" s="192" t="e">
        <f>I16*I15</f>
        <v>#NAME?</v>
      </c>
      <c r="J17" s="193" t="s">
        <v>186</v>
      </c>
      <c r="K17"/>
    </row>
    <row r="18" spans="1:11" s="12" customFormat="1" ht="25.5">
      <c r="A18" s="189">
        <v>16</v>
      </c>
      <c r="B18" s="44" t="s">
        <v>354</v>
      </c>
      <c r="C18" s="194" t="s">
        <v>355</v>
      </c>
      <c r="D18" s="194" t="s">
        <v>356</v>
      </c>
      <c r="E18" s="194"/>
      <c r="F18" s="185">
        <v>3</v>
      </c>
      <c r="G18" s="185">
        <v>3</v>
      </c>
      <c r="H18" s="185">
        <v>3</v>
      </c>
      <c r="I18" s="185">
        <v>3</v>
      </c>
      <c r="J18" s="186">
        <v>12</v>
      </c>
      <c r="K18"/>
    </row>
    <row r="19" spans="1:11" s="12" customFormat="1" ht="25.5">
      <c r="A19" s="189">
        <v>17</v>
      </c>
      <c r="B19" s="44" t="s">
        <v>357</v>
      </c>
      <c r="C19" s="194" t="s">
        <v>243</v>
      </c>
      <c r="D19" s="194" t="s">
        <v>358</v>
      </c>
      <c r="E19" s="194"/>
      <c r="F19" s="185">
        <v>10</v>
      </c>
      <c r="G19" s="185">
        <v>10</v>
      </c>
      <c r="H19" s="185">
        <v>10</v>
      </c>
      <c r="I19" s="185">
        <v>10</v>
      </c>
      <c r="J19" s="186">
        <v>15</v>
      </c>
      <c r="K19"/>
    </row>
    <row r="20" spans="1:11" s="12" customFormat="1" ht="12.75">
      <c r="A20" s="189">
        <v>18</v>
      </c>
      <c r="B20" s="44" t="s">
        <v>359</v>
      </c>
      <c r="C20" s="194" t="s">
        <v>360</v>
      </c>
      <c r="D20" s="194" t="s">
        <v>361</v>
      </c>
      <c r="E20" s="194" t="s">
        <v>362</v>
      </c>
      <c r="F20" s="192" t="e">
        <f>F9*F18*F19*60/1000</f>
        <v>#NAME?</v>
      </c>
      <c r="G20" s="192" t="e">
        <f>G9*G18*G19*60/1000</f>
        <v>#NAME?</v>
      </c>
      <c r="H20" s="192" t="e">
        <f>H9*H18*H19*60/1000</f>
        <v>#NAME?</v>
      </c>
      <c r="I20" s="192" t="e">
        <f>IF(I2="Hп",0,I9*I18*I19*60/1000)</f>
        <v>#NAME?</v>
      </c>
      <c r="J20" s="193">
        <f>J9*J18*J19*60/1000</f>
        <v>98.0553899038446</v>
      </c>
      <c r="K20"/>
    </row>
    <row r="21" spans="1:11" s="12" customFormat="1" ht="25.5">
      <c r="A21" s="189">
        <v>19</v>
      </c>
      <c r="B21" s="44" t="s">
        <v>363</v>
      </c>
      <c r="C21" s="194" t="s">
        <v>364</v>
      </c>
      <c r="D21" s="194" t="s">
        <v>365</v>
      </c>
      <c r="E21" s="194" t="s">
        <v>319</v>
      </c>
      <c r="F21" s="185">
        <v>4</v>
      </c>
      <c r="G21" s="185">
        <v>3</v>
      </c>
      <c r="H21" s="185">
        <v>4</v>
      </c>
      <c r="I21" s="185">
        <v>1</v>
      </c>
      <c r="J21" s="206" t="s">
        <v>186</v>
      </c>
      <c r="K21"/>
    </row>
    <row r="22" spans="1:11" s="12" customFormat="1" ht="25.5">
      <c r="A22" s="189">
        <v>20</v>
      </c>
      <c r="B22" s="44" t="s">
        <v>366</v>
      </c>
      <c r="C22" s="194" t="s">
        <v>360</v>
      </c>
      <c r="D22" s="194" t="s">
        <v>367</v>
      </c>
      <c r="E22" s="194" t="s">
        <v>368</v>
      </c>
      <c r="F22" s="208" t="e">
        <f>F16*100/(F21*1000)</f>
        <v>#NAME?</v>
      </c>
      <c r="G22" s="200" t="e">
        <f>G16*100/(G21*1000)</f>
        <v>#NAME?</v>
      </c>
      <c r="H22" s="208" t="e">
        <f>H16*100/(H21*1000)</f>
        <v>#NAME?</v>
      </c>
      <c r="I22" s="208" t="e">
        <f>I16*100/(I21*1000)</f>
        <v>#NAME?</v>
      </c>
      <c r="J22" s="209" t="s">
        <v>186</v>
      </c>
      <c r="K22"/>
    </row>
    <row r="23" spans="1:11" s="12" customFormat="1" ht="25.5">
      <c r="A23" s="189">
        <v>21</v>
      </c>
      <c r="B23" s="44" t="s">
        <v>369</v>
      </c>
      <c r="C23" s="194" t="s">
        <v>370</v>
      </c>
      <c r="D23" s="194" t="s">
        <v>371</v>
      </c>
      <c r="E23" s="194"/>
      <c r="F23" s="185">
        <v>9</v>
      </c>
      <c r="G23" s="205">
        <v>5</v>
      </c>
      <c r="H23" s="205">
        <v>8</v>
      </c>
      <c r="I23" s="185">
        <v>5</v>
      </c>
      <c r="J23" s="186">
        <v>1</v>
      </c>
      <c r="K23"/>
    </row>
    <row r="24" spans="1:11" s="12" customFormat="1" ht="12.75">
      <c r="A24" s="189">
        <v>22</v>
      </c>
      <c r="B24" s="44" t="s">
        <v>372</v>
      </c>
      <c r="C24" s="194" t="s">
        <v>360</v>
      </c>
      <c r="D24" s="194" t="s">
        <v>373</v>
      </c>
      <c r="E24" s="194" t="s">
        <v>374</v>
      </c>
      <c r="F24" s="208" t="e">
        <f>F9*F8*F23</f>
        <v>#NAME?</v>
      </c>
      <c r="G24" s="208" t="e">
        <f>G9*G8*G23</f>
        <v>#NAME?</v>
      </c>
      <c r="H24" s="208" t="e">
        <f>H9*H8*H23</f>
        <v>#NAME?</v>
      </c>
      <c r="I24" s="208" t="e">
        <f>I9*I8*I23</f>
        <v>#NAME?</v>
      </c>
      <c r="J24" s="202">
        <f>J9*J8*J23</f>
        <v>8.17128249198705</v>
      </c>
      <c r="K24"/>
    </row>
    <row r="25" spans="1:11" s="12" customFormat="1" ht="25.5">
      <c r="A25" s="189">
        <v>23</v>
      </c>
      <c r="B25" s="44" t="s">
        <v>375</v>
      </c>
      <c r="C25" s="194" t="s">
        <v>360</v>
      </c>
      <c r="D25" s="194" t="s">
        <v>265</v>
      </c>
      <c r="E25" s="194" t="s">
        <v>376</v>
      </c>
      <c r="F25" s="208" t="e">
        <f>F20+F22+F24</f>
        <v>#NAME?</v>
      </c>
      <c r="G25" s="208" t="e">
        <f>G20+G22+G24</f>
        <v>#NAME?</v>
      </c>
      <c r="H25" s="208" t="e">
        <f>H20+H22+H24</f>
        <v>#NAME?</v>
      </c>
      <c r="I25" s="208" t="e">
        <f>H20+H22+H24</f>
        <v>#NAME?</v>
      </c>
      <c r="J25" s="202">
        <f>J20+J24</f>
        <v>106.22667239583166</v>
      </c>
      <c r="K25"/>
    </row>
    <row r="26" spans="1:11" s="12" customFormat="1" ht="25.5">
      <c r="A26" s="189">
        <v>24</v>
      </c>
      <c r="B26" s="44" t="s">
        <v>377</v>
      </c>
      <c r="C26" s="191" t="s">
        <v>268</v>
      </c>
      <c r="D26" s="194" t="s">
        <v>378</v>
      </c>
      <c r="E26" s="194" t="s">
        <v>379</v>
      </c>
      <c r="F26" s="208" t="e">
        <f>F25*F15/24</f>
        <v>#NAME?</v>
      </c>
      <c r="G26" s="208" t="e">
        <f>G25*G15/24</f>
        <v>#NAME?</v>
      </c>
      <c r="H26" s="208" t="e">
        <f>H25*H15/24</f>
        <v>#NAME?</v>
      </c>
      <c r="I26" s="208" t="e">
        <f>I25*I15/24</f>
        <v>#NAME?</v>
      </c>
      <c r="J26" s="202" t="e">
        <f>J25*J15/24</f>
        <v>#NAME?</v>
      </c>
      <c r="K26"/>
    </row>
    <row r="27" spans="1:11" s="12" customFormat="1" ht="25.5">
      <c r="A27" s="189">
        <v>25</v>
      </c>
      <c r="B27" s="187" t="s">
        <v>380</v>
      </c>
      <c r="C27" s="191" t="s">
        <v>209</v>
      </c>
      <c r="D27" s="194" t="s">
        <v>381</v>
      </c>
      <c r="E27" s="194"/>
      <c r="F27" s="185">
        <v>5</v>
      </c>
      <c r="G27" s="185">
        <v>5</v>
      </c>
      <c r="H27" s="205">
        <v>5</v>
      </c>
      <c r="I27" s="185">
        <v>10</v>
      </c>
      <c r="J27" s="206" t="s">
        <v>186</v>
      </c>
      <c r="K27"/>
    </row>
    <row r="28" spans="1:11" s="12" customFormat="1" ht="25.5">
      <c r="A28" s="189">
        <v>26</v>
      </c>
      <c r="B28" s="187" t="s">
        <v>382</v>
      </c>
      <c r="C28" s="194" t="s">
        <v>243</v>
      </c>
      <c r="D28" s="194" t="s">
        <v>383</v>
      </c>
      <c r="E28" s="194" t="s">
        <v>384</v>
      </c>
      <c r="F28" s="200" t="e">
        <f>60*F22/(F9*F27)</f>
        <v>#NAME?</v>
      </c>
      <c r="G28" s="200" t="e">
        <f>60*G22/(G9*G27)</f>
        <v>#NAME?</v>
      </c>
      <c r="H28" s="200" t="e">
        <f>60*H22/(H9*H27)</f>
        <v>#NAME?</v>
      </c>
      <c r="I28" s="200" t="e">
        <f>60*I22/(I9*I27)</f>
        <v>#NAME?</v>
      </c>
      <c r="J28" s="206" t="s">
        <v>186</v>
      </c>
      <c r="K28"/>
    </row>
    <row r="29" spans="1:11" s="12" customFormat="1" ht="12.75">
      <c r="A29" s="189">
        <v>27</v>
      </c>
      <c r="B29" s="44" t="s">
        <v>385</v>
      </c>
      <c r="C29" s="191" t="s">
        <v>209</v>
      </c>
      <c r="D29" s="194" t="s">
        <v>386</v>
      </c>
      <c r="E29" s="194"/>
      <c r="F29" s="185">
        <v>5</v>
      </c>
      <c r="G29" s="205">
        <v>5</v>
      </c>
      <c r="H29" s="205">
        <v>10</v>
      </c>
      <c r="I29" s="185">
        <v>10</v>
      </c>
      <c r="J29" s="186">
        <v>8</v>
      </c>
      <c r="K29"/>
    </row>
    <row r="30" spans="1:11" s="12" customFormat="1" ht="12.75">
      <c r="A30" s="189">
        <v>28</v>
      </c>
      <c r="B30" s="44" t="s">
        <v>387</v>
      </c>
      <c r="C30" s="194" t="s">
        <v>243</v>
      </c>
      <c r="D30" s="194" t="s">
        <v>388</v>
      </c>
      <c r="E30" s="194" t="s">
        <v>389</v>
      </c>
      <c r="F30" s="200" t="e">
        <f>60*F24/(F9*F29)</f>
        <v>#NAME?</v>
      </c>
      <c r="G30" s="200" t="e">
        <f>60*G24/(G9*G29)</f>
        <v>#NAME?</v>
      </c>
      <c r="H30" s="200" t="e">
        <f>60*H24/(H9*H29)</f>
        <v>#NAME?</v>
      </c>
      <c r="I30" s="200" t="e">
        <f>60*I24/(I9*I29)</f>
        <v>#NAME?</v>
      </c>
      <c r="J30" s="206">
        <f>60*J24/(J9*J29)</f>
        <v>6.749999999999999</v>
      </c>
      <c r="K30"/>
    </row>
    <row r="31" spans="1:11" s="12" customFormat="1" ht="26.25" thickBot="1">
      <c r="A31" s="190">
        <v>29</v>
      </c>
      <c r="B31" s="188" t="s">
        <v>390</v>
      </c>
      <c r="C31" s="210" t="s">
        <v>243</v>
      </c>
      <c r="D31" s="210" t="s">
        <v>391</v>
      </c>
      <c r="E31" s="210" t="s">
        <v>392</v>
      </c>
      <c r="F31" s="211" t="e">
        <f>F19+F28+F30</f>
        <v>#NAME?</v>
      </c>
      <c r="G31" s="211" t="e">
        <f>G19+G28+G30</f>
        <v>#NAME?</v>
      </c>
      <c r="H31" s="211" t="e">
        <f>H19+H28+H30</f>
        <v>#NAME?</v>
      </c>
      <c r="I31" s="211" t="e">
        <f>I19+I28+I30</f>
        <v>#NAME?</v>
      </c>
      <c r="J31" s="212">
        <f>J19+J30</f>
        <v>21.75</v>
      </c>
      <c r="K31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spans="6:10" ht="12.75" hidden="1">
      <c r="F48" s="7"/>
      <c r="G48" s="7"/>
      <c r="H48" s="7"/>
      <c r="I48" s="7"/>
      <c r="J48" s="7"/>
    </row>
  </sheetData>
  <sheetProtection/>
  <printOptions/>
  <pageMargins left="1.141732283464567" right="0.3937007874015748" top="0.984251968503937" bottom="0.984251968503937" header="0.5118110236220472" footer="0.5118110236220472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ochkov</cp:lastModifiedBy>
  <dcterms:created xsi:type="dcterms:W3CDTF">1997-07-01T20:59:07Z</dcterms:created>
  <dcterms:modified xsi:type="dcterms:W3CDTF">2010-09-30T08:24:37Z</dcterms:modified>
  <cp:category/>
  <cp:version/>
  <cp:contentType/>
  <cp:contentStatus/>
</cp:coreProperties>
</file>